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firstSheet="2" activeTab="2"/>
  </bookViews>
  <sheets>
    <sheet name="Setup" sheetId="1" state="hidden" r:id="rId1"/>
    <sheet name="DrawPrep" sheetId="2" state="hidden" r:id="rId2"/>
    <sheet name="Draw" sheetId="3" r:id="rId3"/>
    <sheet name="PrgPrep" sheetId="6" state="hidden" r:id="rId4"/>
    <sheet name="Day1" sheetId="7" state="hidden" r:id="rId5"/>
    <sheet name="Day2" sheetId="11" state="hidden" r:id="rId6"/>
    <sheet name="notes" sheetId="9" state="hidden" r:id="rId7"/>
    <sheet name="tmp" sheetId="4" state="hidden" r:id="rId8"/>
  </sheets>
  <definedNames>
    <definedName name="_xlnm._FilterDatabase" localSheetId="2" hidden="1">Draw!$A$4:$S$12</definedName>
    <definedName name="_xlnm.Print_Area" localSheetId="5">'Day2'!$A:$F</definedName>
    <definedName name="_xlnm.Print_Area" localSheetId="2">Draw!$A$1:$R$19</definedName>
  </definedNames>
  <calcPr calcId="125725"/>
</workbook>
</file>

<file path=xl/calcChain.xml><?xml version="1.0" encoding="utf-8"?>
<calcChain xmlns="http://schemas.openxmlformats.org/spreadsheetml/2006/main">
  <c r="B2" i="4"/>
  <c r="A1" i="6" l="1"/>
  <c r="A2"/>
  <c r="K10" i="2" l="1"/>
  <c r="K3"/>
  <c r="K9"/>
  <c r="K7"/>
  <c r="K8"/>
  <c r="K4"/>
  <c r="K5"/>
  <c r="K6"/>
  <c r="B18" i="1" l="1"/>
  <c r="B17"/>
  <c r="B4" i="4" l="1"/>
  <c r="I7" i="2"/>
  <c r="I6"/>
  <c r="I10"/>
  <c r="I9"/>
  <c r="I8"/>
  <c r="I4"/>
  <c r="I5"/>
  <c r="I3"/>
  <c r="B3" i="4"/>
  <c r="G5" i="3" l="1"/>
  <c r="H5" s="1"/>
  <c r="G12"/>
  <c r="H12" s="1"/>
  <c r="I12" l="1"/>
  <c r="L12" s="1"/>
  <c r="I5"/>
  <c r="L5" s="1"/>
  <c r="H14" i="2"/>
  <c r="B5" i="4" l="1"/>
  <c r="B8" l="1"/>
  <c r="B7"/>
  <c r="B6"/>
  <c r="A1" i="2"/>
  <c r="H1" l="1"/>
  <c r="J41" i="3" l="1"/>
  <c r="J42"/>
  <c r="J5" l="1"/>
  <c r="K5" s="1"/>
  <c r="J12"/>
  <c r="K12" s="1"/>
  <c r="F12"/>
  <c r="F5"/>
  <c r="B2"/>
  <c r="E6" s="1"/>
  <c r="D6" s="1"/>
  <c r="B9" i="4"/>
  <c r="R1" i="3"/>
  <c r="A1"/>
  <c r="J18"/>
  <c r="J17"/>
  <c r="B21" i="6"/>
  <c r="B20"/>
  <c r="F12" i="1"/>
  <c r="F13" s="1"/>
  <c r="P10" i="3"/>
  <c r="B5" i="6"/>
  <c r="B6"/>
  <c r="B7"/>
  <c r="B8"/>
  <c r="P17" i="3"/>
  <c r="E8" i="6" l="1"/>
  <c r="C5"/>
  <c r="E8" i="3"/>
  <c r="E10"/>
  <c r="E11"/>
  <c r="D7"/>
  <c r="B6"/>
  <c r="E13" i="1"/>
  <c r="F14"/>
  <c r="E12"/>
  <c r="D12" s="1"/>
  <c r="I9" i="3"/>
  <c r="G6"/>
  <c r="N5"/>
  <c r="P6" s="1"/>
  <c r="R8" s="1"/>
  <c r="B7" l="1"/>
  <c r="G7" s="1"/>
  <c r="I7" s="1"/>
  <c r="J7" s="1"/>
  <c r="D8"/>
  <c r="F15" i="1"/>
  <c r="E14"/>
  <c r="D14" s="1"/>
  <c r="D13"/>
  <c r="H6" i="3"/>
  <c r="I6"/>
  <c r="I11"/>
  <c r="L9"/>
  <c r="J9"/>
  <c r="F6"/>
  <c r="L7" l="1"/>
  <c r="C6" i="6" s="1"/>
  <c r="E15" i="1"/>
  <c r="D15" s="1"/>
  <c r="F16"/>
  <c r="B8" i="3"/>
  <c r="G8" s="1"/>
  <c r="I8" s="1"/>
  <c r="D9"/>
  <c r="F7"/>
  <c r="H7"/>
  <c r="C7" i="6"/>
  <c r="C21"/>
  <c r="E20"/>
  <c r="K9" i="3"/>
  <c r="N9" s="1"/>
  <c r="K7"/>
  <c r="N7" s="1"/>
  <c r="L11"/>
  <c r="J11"/>
  <c r="L8"/>
  <c r="J8"/>
  <c r="L6"/>
  <c r="J6"/>
  <c r="K6" s="1"/>
  <c r="E6" i="6" l="1"/>
  <c r="D6" s="1"/>
  <c r="H8" i="3"/>
  <c r="F8"/>
  <c r="D10"/>
  <c r="B9"/>
  <c r="E16" i="1"/>
  <c r="D16" s="1"/>
  <c r="F17"/>
  <c r="C8" i="6"/>
  <c r="D8" s="1"/>
  <c r="E21"/>
  <c r="D21" s="1"/>
  <c r="K8" i="3"/>
  <c r="K11"/>
  <c r="N11" s="1"/>
  <c r="C20" i="6"/>
  <c r="D20" s="1"/>
  <c r="E5"/>
  <c r="D5" s="1"/>
  <c r="F9" i="3" l="1"/>
  <c r="H9"/>
  <c r="F18" i="1"/>
  <c r="E17"/>
  <c r="D17" s="1"/>
  <c r="B10" i="3"/>
  <c r="G10" s="1"/>
  <c r="I10" s="1"/>
  <c r="D11"/>
  <c r="J10" l="1"/>
  <c r="E7" i="6" s="1"/>
  <c r="D7" s="1"/>
  <c r="L10" i="3"/>
  <c r="F10"/>
  <c r="H10"/>
  <c r="F19" i="1"/>
  <c r="E19" s="1"/>
  <c r="E18"/>
  <c r="D18" s="1"/>
  <c r="B11" i="3"/>
  <c r="D12"/>
  <c r="K10" l="1"/>
  <c r="D19" i="1"/>
  <c r="F11" i="3"/>
  <c r="H11"/>
</calcChain>
</file>

<file path=xl/sharedStrings.xml><?xml version="1.0" encoding="utf-8"?>
<sst xmlns="http://schemas.openxmlformats.org/spreadsheetml/2006/main" count="243" uniqueCount="109">
  <si>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</si>
  <si>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</si>
  <si>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</si>
  <si>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</si>
  <si>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</si>
  <si>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</si>
  <si>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</si>
  <si>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</si>
  <si>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Τηλέφωνο</t>
  </si>
  <si>
    <t>Σύλλογος</t>
  </si>
  <si>
    <t>α/α</t>
  </si>
  <si>
    <t>seed</t>
  </si>
  <si>
    <t>ΩΡΑ</t>
  </si>
  <si>
    <t>Κτγρ.</t>
  </si>
  <si>
    <t>Έναρξη</t>
  </si>
  <si>
    <t xml:space="preserve">Τηλέφωνο επιδ: </t>
  </si>
  <si>
    <t>space pos</t>
  </si>
  <si>
    <t>από</t>
  </si>
  <si>
    <t xml:space="preserve"> </t>
  </si>
  <si>
    <t>Index</t>
  </si>
  <si>
    <t>Value</t>
  </si>
  <si>
    <t>ByeOrder</t>
  </si>
  <si>
    <t>Αθλητής-Σύλλογος</t>
  </si>
  <si>
    <t>Πρόγραμμα αγώνων</t>
  </si>
  <si>
    <t>Round 2</t>
  </si>
  <si>
    <t>Don't Change this Worksheet !</t>
  </si>
  <si>
    <t xml:space="preserve">Αριθμός θέσεων seeded: </t>
  </si>
  <si>
    <t xml:space="preserve">1 2 3 4 </t>
  </si>
  <si>
    <t>επώνυμο</t>
  </si>
  <si>
    <t>ByeCnt</t>
  </si>
  <si>
    <t>ByeSum</t>
  </si>
  <si>
    <t xml:space="preserve">Πλήθος bye (0-4): </t>
  </si>
  <si>
    <t xml:space="preserve">0 0 0 0 0 0 0  </t>
  </si>
  <si>
    <t>=CONCATENATE(LEFT(D9;$B$18*2);LEFT(D8;$B$19*2);RandUniq($B$19+1;8-$B$18;8-$B$19-$B$18);" ")</t>
  </si>
  <si>
    <t>seeded players</t>
  </si>
  <si>
    <t>επιδιαιτητής</t>
  </si>
  <si>
    <t>w</t>
  </si>
  <si>
    <t>RndIndx</t>
  </si>
  <si>
    <t>random</t>
  </si>
  <si>
    <t>FixRandom</t>
  </si>
  <si>
    <t>SortPts</t>
  </si>
  <si>
    <t>med</t>
  </si>
  <si>
    <t>Ν ή Ο</t>
  </si>
  <si>
    <t>Walk-over</t>
  </si>
  <si>
    <t>pts</t>
  </si>
  <si>
    <t>BoldNames</t>
  </si>
  <si>
    <t/>
  </si>
  <si>
    <t xml:space="preserve">md  (# για off) </t>
  </si>
  <si>
    <t>ok</t>
  </si>
  <si>
    <t>Υπογραφή</t>
  </si>
  <si>
    <t>Rnd</t>
  </si>
  <si>
    <t>trim</t>
  </si>
  <si>
    <t xml:space="preserve">Κατηγορία: </t>
  </si>
  <si>
    <t>Main Draw</t>
  </si>
  <si>
    <t xml:space="preserve">type: </t>
  </si>
  <si>
    <t>ΠΡΟΚΡΙΜΑΤΙΚΑ E1, E2 (32 για 8)</t>
  </si>
  <si>
    <t>17-32</t>
  </si>
  <si>
    <t>9-16</t>
  </si>
  <si>
    <t>5-8</t>
  </si>
  <si>
    <t>3-4</t>
  </si>
  <si>
    <t>2ος</t>
  </si>
  <si>
    <t>1ος</t>
  </si>
  <si>
    <t>E1</t>
  </si>
  <si>
    <t>E1-12</t>
  </si>
  <si>
    <t>E1-14</t>
  </si>
  <si>
    <t>E1-16</t>
  </si>
  <si>
    <t>E1-18</t>
  </si>
  <si>
    <t>E2</t>
  </si>
  <si>
    <t>E2-12</t>
  </si>
  <si>
    <t>E2-14</t>
  </si>
  <si>
    <t>E2-16</t>
  </si>
  <si>
    <t>ΚΥΡΙΩΣ ΤΑΜΠΛΟ E1, E2 &amp; E3</t>
  </si>
  <si>
    <t>E3</t>
  </si>
  <si>
    <t>E3-12</t>
  </si>
  <si>
    <t>E3-14</t>
  </si>
  <si>
    <t>E3-16</t>
  </si>
  <si>
    <t>ΔΙΠΛΑ E1, E2</t>
  </si>
  <si>
    <t>i</t>
  </si>
  <si>
    <t>8άρι ταμπλό</t>
  </si>
  <si>
    <t>Round 1</t>
  </si>
  <si>
    <t>Α' ΕΝΩΣΗ, 2ο Ε3,  (Α12)</t>
  </si>
  <si>
    <t>βαθμοί</t>
  </si>
  <si>
    <t>ΣΤ' ΕΝΩΣΗ</t>
  </si>
  <si>
    <t>Open Προπαιδικό U10</t>
  </si>
  <si>
    <t>ΡΗΓΑΣ ΑΟΑΑ</t>
  </si>
  <si>
    <t>30/05/2026</t>
  </si>
  <si>
    <t>31/05/2026</t>
  </si>
  <si>
    <t>ΚΟΚΚΟΣΗ ΧΑΡΑ</t>
  </si>
  <si>
    <t>GIRLS 10</t>
  </si>
  <si>
    <t>ΚΑΝΕΛΛΑΚΗ ΑΔΑΜΑΝΤΙΑ</t>
  </si>
  <si>
    <t>ΦΙΛΑΘΛΗΤΙΚΟΣ Γ.Σ.</t>
  </si>
  <si>
    <t>ΚΩΣΤΑΚΗ ΚΑΤΕΡΙΝΑ</t>
  </si>
  <si>
    <t>ΚΑΤΣΑΡΗ ΑΝΤΩΝΙΑ</t>
  </si>
  <si>
    <t>ΣΩΤΗΡΟΠΟΥΛΟΥ ΜΑΓΙΑ</t>
  </si>
  <si>
    <t>ΑΕΚ ΤΡΙΠΟΛΗΣ</t>
  </si>
  <si>
    <t>ΨΥΛΛΑ ΜΑΓΙΑ</t>
  </si>
  <si>
    <t>ΑΟΑ ΣΙΚΥΩΝΟΣ ΚΙΑΤΟΥ</t>
  </si>
  <si>
    <t>ΜΕΞΗ ΙΣΜΗΝΗ</t>
  </si>
  <si>
    <t>ΤΡΟΙΖΙΝΙΑΚΟΣ</t>
  </si>
  <si>
    <t>ΟΙΚΟΝΟΜΟΥ ΕΛΙΝΑ</t>
  </si>
  <si>
    <t>ΜΠΟΚΑ ΜΙΧΑΕΛΑ</t>
  </si>
  <si>
    <t>Ermionida's Tennis</t>
  </si>
  <si>
    <t xml:space="preserve">1 2 8 3 6 5 7 4 </t>
  </si>
  <si>
    <t>W.O.</t>
  </si>
  <si>
    <t xml:space="preserve">42 42 </t>
  </si>
  <si>
    <t>41 42</t>
  </si>
  <si>
    <t xml:space="preserve">53 41 </t>
  </si>
  <si>
    <t>42 41</t>
  </si>
  <si>
    <t>40 41</t>
  </si>
</sst>
</file>

<file path=xl/styles.xml><?xml version="1.0" encoding="utf-8"?>
<styleSheet xmlns="http://schemas.openxmlformats.org/spreadsheetml/2006/main">
  <numFmts count="4">
    <numFmt numFmtId="164" formatCode="[$-F800]dddd\,\ mmmm\ dd\,\ yyyy"/>
    <numFmt numFmtId="165" formatCode="0.00000"/>
    <numFmt numFmtId="166" formatCode="0.0000"/>
    <numFmt numFmtId="167" formatCode="0.000000"/>
  </numFmts>
  <fonts count="51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i/>
      <sz val="7"/>
      <name val="Arial"/>
      <family val="2"/>
      <charset val="161"/>
    </font>
    <font>
      <b/>
      <i/>
      <u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b/>
      <i/>
      <sz val="7"/>
      <name val="Arial"/>
      <family val="2"/>
      <charset val="161"/>
    </font>
    <font>
      <i/>
      <u/>
      <sz val="7"/>
      <name val="Arial"/>
      <family val="2"/>
      <charset val="161"/>
    </font>
    <font>
      <b/>
      <u/>
      <sz val="13"/>
      <name val="Arial"/>
      <family val="2"/>
      <charset val="161"/>
    </font>
    <font>
      <b/>
      <sz val="16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8"/>
      <name val="Arial"/>
      <family val="2"/>
      <charset val="161"/>
    </font>
    <font>
      <b/>
      <i/>
      <u/>
      <sz val="7"/>
      <color theme="0" tint="-4.9989318521683403E-2"/>
      <name val="Arial"/>
      <family val="2"/>
      <charset val="161"/>
    </font>
    <font>
      <i/>
      <sz val="7"/>
      <color theme="0" tint="-4.9989318521683403E-2"/>
      <name val="Arial"/>
      <family val="2"/>
      <charset val="161"/>
    </font>
    <font>
      <b/>
      <sz val="10"/>
      <color rgb="FFC00000"/>
      <name val="Arial"/>
      <family val="2"/>
      <charset val="161"/>
    </font>
    <font>
      <i/>
      <sz val="8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sz val="8"/>
      <color theme="0" tint="-0.249977111117893"/>
      <name val="Arial"/>
      <family val="2"/>
      <charset val="161"/>
    </font>
    <font>
      <b/>
      <u/>
      <sz val="9"/>
      <name val="Tahoma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b/>
      <sz val="9"/>
      <color rgb="FF000000"/>
      <name val="Tahoma"/>
      <family val="2"/>
      <charset val="161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  <font>
      <b/>
      <sz val="13"/>
      <name val="Arial"/>
      <family val="2"/>
      <charset val="161"/>
    </font>
    <font>
      <b/>
      <u/>
      <sz val="12"/>
      <name val="Arial"/>
      <family val="2"/>
      <charset val="161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7" borderId="12" xfId="0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7" borderId="12" xfId="0" applyFont="1" applyFill="1" applyBorder="1" applyAlignment="1">
      <alignment horizontal="centerContinuous" vertical="center"/>
    </xf>
    <xf numFmtId="49" fontId="4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/>
    <xf numFmtId="0" fontId="21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NumberFormat="1" applyFont="1" applyAlignment="1" applyProtection="1">
      <alignment vertical="center"/>
      <protection locked="0"/>
    </xf>
    <xf numFmtId="0" fontId="14" fillId="0" borderId="0" xfId="0" applyNumberFormat="1" applyFont="1" applyAlignment="1" applyProtection="1">
      <alignment vertical="center"/>
      <protection locked="0"/>
    </xf>
    <xf numFmtId="0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7" xfId="0" applyNumberFormat="1" applyFont="1" applyBorder="1" applyAlignment="1" applyProtection="1">
      <alignment vertical="center"/>
      <protection locked="0"/>
    </xf>
    <xf numFmtId="0" fontId="18" fillId="0" borderId="0" xfId="0" applyNumberFormat="1" applyFont="1" applyAlignment="1" applyProtection="1">
      <alignment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8" fillId="0" borderId="0" xfId="0" applyNumberFormat="1" applyFont="1" applyAlignment="1" applyProtection="1">
      <alignment horizontal="left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166" fontId="1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5" fillId="2" borderId="6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Border="1" applyAlignment="1" applyProtection="1">
      <alignment horizontal="right" vertical="center"/>
      <protection locked="0"/>
    </xf>
    <xf numFmtId="0" fontId="30" fillId="0" borderId="0" xfId="0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29" fillId="0" borderId="2" xfId="0" applyNumberFormat="1" applyFont="1" applyBorder="1" applyAlignment="1" applyProtection="1">
      <alignment horizontal="right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4" fillId="2" borderId="15" xfId="0" applyNumberFormat="1" applyFont="1" applyFill="1" applyBorder="1" applyAlignment="1" applyProtection="1">
      <alignment horizontal="center" vertical="center"/>
    </xf>
    <xf numFmtId="0" fontId="14" fillId="2" borderId="14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Border="1" applyAlignment="1" applyProtection="1">
      <alignment horizontal="center" vertical="center"/>
    </xf>
    <xf numFmtId="0" fontId="8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NumberFormat="1" applyFont="1" applyFill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0" fontId="23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0" fillId="0" borderId="2" xfId="0" quotePrefix="1" applyNumberFormat="1" applyFont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8" fillId="0" borderId="1" xfId="0" quotePrefix="1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quotePrefix="1" applyNumberFormat="1" applyFont="1" applyFill="1" applyBorder="1" applyAlignment="1" applyProtection="1">
      <alignment vertical="center"/>
    </xf>
    <xf numFmtId="167" fontId="8" fillId="0" borderId="0" xfId="0" applyNumberFormat="1" applyFont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0" fontId="5" fillId="10" borderId="2" xfId="0" applyNumberFormat="1" applyFont="1" applyFill="1" applyBorder="1" applyAlignment="1" applyProtection="1">
      <alignment horizontal="center" vertical="center"/>
    </xf>
    <xf numFmtId="167" fontId="1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14" fillId="11" borderId="3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right" vertical="center"/>
    </xf>
    <xf numFmtId="0" fontId="35" fillId="9" borderId="13" xfId="0" applyFont="1" applyFill="1" applyBorder="1" applyAlignment="1" applyProtection="1">
      <alignment horizontal="left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NumberFormat="1" applyFont="1" applyFill="1" applyAlignment="1" applyProtection="1">
      <alignment horizontal="center" vertical="center"/>
      <protection locked="0"/>
    </xf>
    <xf numFmtId="0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quotePrefix="1" applyNumberFormat="1" applyFont="1" applyFill="1" applyBorder="1" applyAlignment="1" applyProtection="1">
      <alignment vertical="center"/>
      <protection locked="0"/>
    </xf>
    <xf numFmtId="0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4" fillId="9" borderId="13" xfId="0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34" fillId="9" borderId="14" xfId="0" applyFont="1" applyFill="1" applyBorder="1" applyAlignment="1" applyProtection="1">
      <alignment horizontal="left" vertical="center"/>
      <protection locked="0"/>
    </xf>
    <xf numFmtId="0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" xfId="0" quotePrefix="1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5" xfId="0" quotePrefix="1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6" xfId="0" quotePrefix="1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right" vertical="center"/>
    </xf>
    <xf numFmtId="0" fontId="3" fillId="11" borderId="4" xfId="0" applyFont="1" applyFill="1" applyBorder="1" applyAlignment="1" applyProtection="1">
      <alignment horizontal="center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37" fillId="0" borderId="0" xfId="0" quotePrefix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quotePrefix="1" applyFont="1" applyBorder="1" applyAlignment="1" applyProtection="1">
      <alignment vertical="center"/>
      <protection locked="0"/>
    </xf>
    <xf numFmtId="0" fontId="8" fillId="0" borderId="0" xfId="0" quotePrefix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165" fontId="38" fillId="0" borderId="0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5" fontId="39" fillId="0" borderId="0" xfId="0" applyNumberFormat="1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0" fontId="39" fillId="12" borderId="7" xfId="0" quotePrefix="1" applyFont="1" applyFill="1" applyBorder="1" applyAlignment="1" applyProtection="1">
      <alignment horizontal="center" vertical="center"/>
      <protection locked="0"/>
    </xf>
    <xf numFmtId="0" fontId="39" fillId="12" borderId="10" xfId="0" quotePrefix="1" applyFont="1" applyFill="1" applyBorder="1" applyAlignment="1" applyProtection="1">
      <alignment horizontal="center" vertical="center"/>
      <protection locked="0"/>
    </xf>
    <xf numFmtId="0" fontId="39" fillId="12" borderId="7" xfId="0" applyFont="1" applyFill="1" applyBorder="1" applyAlignment="1" applyProtection="1">
      <alignment horizontal="center" vertical="center"/>
      <protection locked="0"/>
    </xf>
    <xf numFmtId="0" fontId="39" fillId="12" borderId="10" xfId="0" applyFont="1" applyFill="1" applyBorder="1" applyAlignment="1" applyProtection="1">
      <alignment horizontal="center" vertical="center"/>
      <protection locked="0"/>
    </xf>
    <xf numFmtId="0" fontId="39" fillId="12" borderId="15" xfId="0" quotePrefix="1" applyFont="1" applyFill="1" applyBorder="1" applyAlignment="1" applyProtection="1">
      <alignment horizontal="center" vertical="center"/>
      <protection locked="0"/>
    </xf>
    <xf numFmtId="0" fontId="39" fillId="12" borderId="15" xfId="0" applyFont="1" applyFill="1" applyBorder="1" applyAlignment="1" applyProtection="1">
      <alignment horizontal="center" vertical="center"/>
      <protection locked="0"/>
    </xf>
    <xf numFmtId="0" fontId="39" fillId="12" borderId="4" xfId="0" applyFont="1" applyFill="1" applyBorder="1" applyAlignment="1" applyProtection="1">
      <alignment horizontal="center" vertical="center"/>
      <protection locked="0"/>
    </xf>
    <xf numFmtId="0" fontId="39" fillId="13" borderId="11" xfId="0" applyFont="1" applyFill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39" fillId="13" borderId="8" xfId="0" applyFont="1" applyFill="1" applyBorder="1" applyAlignment="1" applyProtection="1">
      <alignment horizontal="center" vertical="center"/>
      <protection locked="0"/>
    </xf>
    <xf numFmtId="0" fontId="39" fillId="14" borderId="15" xfId="0" applyFont="1" applyFill="1" applyBorder="1" applyAlignment="1" applyProtection="1">
      <alignment horizontal="center" vertical="center"/>
      <protection locked="0"/>
    </xf>
    <xf numFmtId="0" fontId="39" fillId="14" borderId="4" xfId="0" applyFont="1" applyFill="1" applyBorder="1" applyAlignment="1" applyProtection="1">
      <alignment horizontal="center" vertical="center"/>
      <protection locked="0"/>
    </xf>
    <xf numFmtId="0" fontId="39" fillId="14" borderId="13" xfId="0" applyFont="1" applyFill="1" applyBorder="1" applyAlignment="1" applyProtection="1">
      <alignment horizontal="center" vertical="center"/>
      <protection locked="0"/>
    </xf>
    <xf numFmtId="0" fontId="39" fillId="14" borderId="5" xfId="0" applyFont="1" applyFill="1" applyBorder="1" applyAlignment="1" applyProtection="1">
      <alignment horizontal="center" vertical="center"/>
      <protection locked="0"/>
    </xf>
    <xf numFmtId="0" fontId="39" fillId="14" borderId="14" xfId="0" applyFont="1" applyFill="1" applyBorder="1" applyAlignment="1" applyProtection="1">
      <alignment horizontal="center" vertical="center"/>
      <protection locked="0"/>
    </xf>
    <xf numFmtId="0" fontId="39" fillId="14" borderId="6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12" borderId="13" xfId="0" quotePrefix="1" applyFont="1" applyFill="1" applyBorder="1" applyAlignment="1" applyProtection="1">
      <alignment horizontal="center" vertical="center"/>
      <protection locked="0"/>
    </xf>
    <xf numFmtId="0" fontId="39" fillId="12" borderId="13" xfId="0" applyFont="1" applyFill="1" applyBorder="1" applyAlignment="1" applyProtection="1">
      <alignment horizontal="center" vertical="center"/>
      <protection locked="0"/>
    </xf>
    <xf numFmtId="0" fontId="39" fillId="12" borderId="5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39" fillId="0" borderId="3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4" xfId="0" applyFont="1" applyFill="1" applyBorder="1" applyAlignment="1" applyProtection="1">
      <alignment horizontal="center" vertical="center"/>
      <protection locked="0"/>
    </xf>
    <xf numFmtId="0" fontId="39" fillId="0" borderId="9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9" fillId="0" borderId="5" xfId="0" applyFont="1" applyFill="1" applyBorder="1" applyAlignment="1" applyProtection="1">
      <alignment horizontal="center" vertical="center"/>
      <protection locked="0"/>
    </xf>
    <xf numFmtId="0" fontId="43" fillId="13" borderId="11" xfId="0" applyFont="1" applyFill="1" applyBorder="1" applyAlignment="1" applyProtection="1">
      <alignment horizontal="center" vertical="center"/>
      <protection locked="0"/>
    </xf>
    <xf numFmtId="0" fontId="39" fillId="0" borderId="8" xfId="0" applyFont="1" applyFill="1" applyBorder="1" applyAlignment="1" applyProtection="1">
      <alignment horizontal="center" vertical="center"/>
      <protection locked="0"/>
    </xf>
    <xf numFmtId="0" fontId="39" fillId="0" borderId="2" xfId="0" applyFont="1" applyFill="1" applyBorder="1" applyAlignment="1" applyProtection="1">
      <alignment horizontal="center" vertical="center"/>
      <protection locked="0"/>
    </xf>
    <xf numFmtId="0" fontId="39" fillId="0" borderId="6" xfId="0" applyFont="1" applyFill="1" applyBorder="1" applyAlignment="1" applyProtection="1">
      <alignment horizontal="center" vertical="center"/>
      <protection locked="0"/>
    </xf>
    <xf numFmtId="0" fontId="43" fillId="13" borderId="8" xfId="0" applyFont="1" applyFill="1" applyBorder="1" applyAlignment="1" applyProtection="1">
      <alignment horizontal="center" vertical="center"/>
      <protection locked="0"/>
    </xf>
    <xf numFmtId="0" fontId="39" fillId="14" borderId="9" xfId="0" applyFont="1" applyFill="1" applyBorder="1" applyAlignment="1" applyProtection="1">
      <alignment horizontal="center" vertical="center"/>
      <protection locked="0"/>
    </xf>
    <xf numFmtId="0" fontId="39" fillId="14" borderId="0" xfId="0" applyFont="1" applyFill="1" applyBorder="1" applyAlignment="1" applyProtection="1">
      <alignment horizontal="center" vertical="center"/>
      <protection locked="0"/>
    </xf>
    <xf numFmtId="0" fontId="39" fillId="14" borderId="8" xfId="0" applyFont="1" applyFill="1" applyBorder="1" applyAlignment="1" applyProtection="1">
      <alignment horizontal="center" vertical="center"/>
      <protection locked="0"/>
    </xf>
    <xf numFmtId="0" fontId="39" fillId="14" borderId="2" xfId="0" applyFont="1" applyFill="1" applyBorder="1" applyAlignment="1" applyProtection="1">
      <alignment horizontal="center" vertical="center"/>
      <protection locked="0"/>
    </xf>
    <xf numFmtId="0" fontId="34" fillId="9" borderId="15" xfId="0" applyFont="1" applyFill="1" applyBorder="1" applyAlignment="1" applyProtection="1">
      <alignment horizontal="left" vertical="center"/>
      <protection locked="0"/>
    </xf>
    <xf numFmtId="49" fontId="34" fillId="9" borderId="13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horizontal="center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45" fillId="0" borderId="0" xfId="0" quotePrefix="1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2" fillId="12" borderId="9" xfId="0" applyFont="1" applyFill="1" applyBorder="1" applyAlignment="1" applyProtection="1">
      <alignment horizontal="center" vertical="center"/>
      <protection locked="0"/>
    </xf>
    <xf numFmtId="0" fontId="42" fillId="12" borderId="8" xfId="0" applyFont="1" applyFill="1" applyBorder="1" applyAlignment="1" applyProtection="1">
      <alignment horizontal="center" vertical="center"/>
      <protection locked="0"/>
    </xf>
    <xf numFmtId="0" fontId="40" fillId="12" borderId="14" xfId="0" applyFont="1" applyFill="1" applyBorder="1" applyAlignment="1" applyProtection="1">
      <alignment horizontal="center" vertical="center"/>
      <protection locked="0"/>
    </xf>
    <xf numFmtId="0" fontId="40" fillId="12" borderId="7" xfId="0" applyFont="1" applyFill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1" fillId="0" borderId="8" xfId="0" applyFont="1" applyFill="1" applyBorder="1" applyAlignment="1" applyProtection="1">
      <alignment horizontal="center" vertical="center"/>
      <protection locked="0"/>
    </xf>
    <xf numFmtId="0" fontId="41" fillId="0" borderId="6" xfId="0" applyFont="1" applyFill="1" applyBorder="1" applyAlignment="1" applyProtection="1">
      <alignment horizontal="center" vertical="center"/>
      <protection locked="0"/>
    </xf>
    <xf numFmtId="0" fontId="42" fillId="12" borderId="15" xfId="0" applyFont="1" applyFill="1" applyBorder="1" applyAlignment="1" applyProtection="1">
      <alignment horizontal="center" vertical="center"/>
      <protection locked="0"/>
    </xf>
    <xf numFmtId="0" fontId="42" fillId="12" borderId="13" xfId="0" applyFont="1" applyFill="1" applyBorder="1" applyAlignment="1" applyProtection="1">
      <alignment horizontal="center" vertical="center"/>
      <protection locked="0"/>
    </xf>
    <xf numFmtId="0" fontId="42" fillId="12" borderId="14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0" fillId="12" borderId="15" xfId="0" applyFont="1" applyFill="1" applyBorder="1" applyAlignment="1" applyProtection="1">
      <alignment horizontal="center" vertical="center"/>
      <protection locked="0"/>
    </xf>
    <xf numFmtId="0" fontId="40" fillId="12" borderId="13" xfId="0" applyFont="1" applyFill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1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1"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100"/>
  <sheetViews>
    <sheetView showGridLines="0" zoomScale="115" zoomScaleNormal="115" workbookViewId="0">
      <selection activeCell="B24" sqref="B24"/>
    </sheetView>
  </sheetViews>
  <sheetFormatPr defaultColWidth="9.140625" defaultRowHeight="12.75"/>
  <cols>
    <col min="1" max="1" width="20.7109375" style="152" customWidth="1"/>
    <col min="2" max="2" width="30.7109375" style="153" customWidth="1"/>
    <col min="3" max="3" width="8.85546875" style="148" customWidth="1"/>
    <col min="4" max="4" width="6" style="161" hidden="1" customWidth="1"/>
    <col min="5" max="5" width="4.140625" style="161" hidden="1" customWidth="1"/>
    <col min="6" max="6" width="7.28515625" style="161" hidden="1" customWidth="1"/>
    <col min="7" max="7" width="4.28515625" style="151" hidden="1" customWidth="1"/>
    <col min="8" max="8" width="4.5703125" style="151" hidden="1" customWidth="1"/>
    <col min="9" max="10" width="8.85546875" style="85" customWidth="1"/>
    <col min="11" max="16384" width="9.140625" style="85"/>
  </cols>
  <sheetData>
    <row r="1" spans="1:9" ht="15.75">
      <c r="A1" s="269" t="s">
        <v>78</v>
      </c>
      <c r="B1" s="269"/>
      <c r="D1" s="149"/>
      <c r="E1" s="149"/>
      <c r="F1" s="150"/>
    </row>
    <row r="2" spans="1:9" ht="12">
      <c r="C2" s="154"/>
      <c r="D2" s="155"/>
      <c r="E2" s="156"/>
      <c r="F2" s="157"/>
      <c r="G2" s="85"/>
      <c r="H2" s="85"/>
    </row>
    <row r="3" spans="1:9">
      <c r="A3" s="137" t="s">
        <v>3</v>
      </c>
      <c r="B3" s="265" t="s">
        <v>82</v>
      </c>
      <c r="D3" s="158"/>
      <c r="E3" s="159"/>
      <c r="F3" s="150"/>
    </row>
    <row r="4" spans="1:9">
      <c r="A4" s="137" t="s">
        <v>4</v>
      </c>
      <c r="B4" s="160" t="s">
        <v>83</v>
      </c>
      <c r="D4" s="149"/>
      <c r="E4" s="149"/>
      <c r="F4" s="150"/>
    </row>
    <row r="5" spans="1:9" s="151" customFormat="1">
      <c r="A5" s="139" t="s">
        <v>54</v>
      </c>
      <c r="B5" s="140"/>
      <c r="C5" s="148"/>
      <c r="D5" s="161"/>
      <c r="E5" s="161"/>
      <c r="F5" s="161"/>
    </row>
    <row r="6" spans="1:9">
      <c r="A6" s="137" t="s">
        <v>5</v>
      </c>
      <c r="B6" s="160" t="s">
        <v>84</v>
      </c>
    </row>
    <row r="7" spans="1:9">
      <c r="A7" s="137" t="s">
        <v>52</v>
      </c>
      <c r="B7" s="160" t="s">
        <v>88</v>
      </c>
      <c r="D7" s="162" t="s">
        <v>102</v>
      </c>
      <c r="E7" s="162"/>
      <c r="F7" s="150"/>
      <c r="G7" s="150"/>
      <c r="H7" s="150"/>
      <c r="I7" s="163"/>
    </row>
    <row r="8" spans="1:9">
      <c r="A8" s="137" t="s">
        <v>0</v>
      </c>
      <c r="B8" s="266" t="s">
        <v>85</v>
      </c>
      <c r="D8" s="164" t="s">
        <v>27</v>
      </c>
    </row>
    <row r="9" spans="1:9">
      <c r="A9" s="137" t="s">
        <v>1</v>
      </c>
      <c r="B9" s="266" t="s">
        <v>86</v>
      </c>
      <c r="C9" s="165"/>
      <c r="D9" s="151" t="s">
        <v>32</v>
      </c>
      <c r="E9" s="151"/>
    </row>
    <row r="10" spans="1:9">
      <c r="A10" s="137" t="s">
        <v>2</v>
      </c>
      <c r="B10" s="160" t="s">
        <v>87</v>
      </c>
      <c r="C10" s="165"/>
      <c r="D10" s="151"/>
      <c r="E10" s="151"/>
      <c r="F10" s="151"/>
    </row>
    <row r="11" spans="1:9">
      <c r="A11" s="137" t="s">
        <v>15</v>
      </c>
      <c r="B11" s="166"/>
      <c r="C11" s="165"/>
      <c r="D11" s="167">
        <v>0</v>
      </c>
      <c r="E11" s="168" t="s">
        <v>11</v>
      </c>
      <c r="F11" s="169" t="s">
        <v>16</v>
      </c>
      <c r="G11" s="170" t="s">
        <v>19</v>
      </c>
      <c r="H11" s="171" t="s">
        <v>20</v>
      </c>
    </row>
    <row r="12" spans="1:9" ht="12">
      <c r="A12" s="137"/>
      <c r="B12" s="85"/>
      <c r="C12" s="85"/>
      <c r="D12" s="172">
        <f>IF(E12="-","-",IF(E12&gt;0,D11+1,0))</f>
        <v>1</v>
      </c>
      <c r="E12" s="173">
        <f>IF(F12&gt;0,VALUE(MID($D$7,1,F12-1)),"-")</f>
        <v>1</v>
      </c>
      <c r="F12" s="174">
        <f>IF(LEN($D$7)&gt;1,FIND(" ",$D$7,1),0)</f>
        <v>2</v>
      </c>
      <c r="G12" s="175">
        <v>1</v>
      </c>
      <c r="H12" s="176">
        <v>1</v>
      </c>
    </row>
    <row r="13" spans="1:9" ht="12">
      <c r="A13" s="137"/>
      <c r="C13" s="85"/>
      <c r="D13" s="177">
        <f t="shared" ref="D13:D19" si="0">IF(E13="-","-",IF(E13&gt;0,D12+1,0))</f>
        <v>2</v>
      </c>
      <c r="E13" s="178">
        <f t="shared" ref="E13:E19" si="1">IF(F13&gt;0,VALUE(MID($D$7,F12+1,F13-F12-1)),"-")</f>
        <v>2</v>
      </c>
      <c r="F13" s="179">
        <f t="shared" ref="F13:F19" si="2">IF(AND(F12&gt;0,LEN($D$7)&gt;F12+1),FIND(" ",$D$7,F12+1),0)</f>
        <v>4</v>
      </c>
      <c r="G13" s="180">
        <v>2</v>
      </c>
      <c r="H13" s="181">
        <v>2</v>
      </c>
    </row>
    <row r="14" spans="1:9" ht="12">
      <c r="A14" s="137"/>
      <c r="C14" s="85"/>
      <c r="D14" s="177">
        <f t="shared" si="0"/>
        <v>3</v>
      </c>
      <c r="E14" s="178">
        <f t="shared" si="1"/>
        <v>8</v>
      </c>
      <c r="F14" s="179">
        <f t="shared" si="2"/>
        <v>6</v>
      </c>
      <c r="G14" s="180">
        <v>3</v>
      </c>
      <c r="H14" s="181">
        <v>8</v>
      </c>
    </row>
    <row r="15" spans="1:9" ht="12">
      <c r="A15" s="137"/>
      <c r="C15" s="85"/>
      <c r="D15" s="177">
        <f t="shared" si="0"/>
        <v>4</v>
      </c>
      <c r="E15" s="178">
        <f t="shared" si="1"/>
        <v>3</v>
      </c>
      <c r="F15" s="179">
        <f t="shared" si="2"/>
        <v>8</v>
      </c>
      <c r="G15" s="180">
        <v>4</v>
      </c>
      <c r="H15" s="181">
        <v>3</v>
      </c>
    </row>
    <row r="16" spans="1:9" ht="12">
      <c r="A16" s="137"/>
      <c r="C16" s="85"/>
      <c r="D16" s="177">
        <f t="shared" si="0"/>
        <v>5</v>
      </c>
      <c r="E16" s="178">
        <f t="shared" si="1"/>
        <v>6</v>
      </c>
      <c r="F16" s="179">
        <f t="shared" si="2"/>
        <v>10</v>
      </c>
      <c r="G16" s="180">
        <v>5</v>
      </c>
      <c r="H16" s="181">
        <v>6</v>
      </c>
    </row>
    <row r="17" spans="1:8">
      <c r="A17" s="138" t="s">
        <v>53</v>
      </c>
      <c r="B17" s="197" t="str">
        <f>"("&amp;COUNTBLANK(DrawPrep!D3:D10)&amp;")"</f>
        <v>(0)</v>
      </c>
      <c r="C17" s="165"/>
      <c r="D17" s="182">
        <f t="shared" si="0"/>
        <v>6</v>
      </c>
      <c r="E17" s="183">
        <f t="shared" si="1"/>
        <v>5</v>
      </c>
      <c r="F17" s="184">
        <f t="shared" si="2"/>
        <v>12</v>
      </c>
      <c r="G17" s="185">
        <v>6</v>
      </c>
      <c r="H17" s="186">
        <v>5</v>
      </c>
    </row>
    <row r="18" spans="1:8">
      <c r="A18" s="194" t="s">
        <v>31</v>
      </c>
      <c r="B18" s="160">
        <f>COUNTBLANK(DrawPrep!D3:D10)</f>
        <v>0</v>
      </c>
      <c r="C18" s="165"/>
      <c r="D18" s="182">
        <f t="shared" si="0"/>
        <v>7</v>
      </c>
      <c r="E18" s="183">
        <f t="shared" si="1"/>
        <v>7</v>
      </c>
      <c r="F18" s="184">
        <f t="shared" si="2"/>
        <v>14</v>
      </c>
      <c r="G18" s="185">
        <v>7</v>
      </c>
      <c r="H18" s="186">
        <v>7</v>
      </c>
    </row>
    <row r="19" spans="1:8">
      <c r="A19" s="195" t="s">
        <v>26</v>
      </c>
      <c r="B19" s="166">
        <v>2</v>
      </c>
      <c r="C19" s="165"/>
      <c r="D19" s="187">
        <f t="shared" si="0"/>
        <v>8</v>
      </c>
      <c r="E19" s="188">
        <f t="shared" si="1"/>
        <v>4</v>
      </c>
      <c r="F19" s="189">
        <f t="shared" si="2"/>
        <v>16</v>
      </c>
      <c r="G19" s="190">
        <v>8</v>
      </c>
      <c r="H19" s="191">
        <v>4</v>
      </c>
    </row>
    <row r="20" spans="1:8" s="151" customFormat="1" ht="11.25">
      <c r="A20" s="199"/>
      <c r="B20" s="200"/>
      <c r="D20" s="149"/>
      <c r="E20" s="159"/>
      <c r="F20" s="149"/>
      <c r="G20" s="192"/>
      <c r="H20" s="192"/>
    </row>
    <row r="21" spans="1:8" s="151" customFormat="1" ht="11.25">
      <c r="A21" s="196"/>
      <c r="B21" s="193"/>
      <c r="D21" s="149"/>
      <c r="E21" s="159"/>
      <c r="F21" s="149"/>
      <c r="G21" s="192"/>
      <c r="H21" s="192"/>
    </row>
    <row r="22" spans="1:8" s="151" customFormat="1" ht="11.25">
      <c r="A22" s="201"/>
      <c r="B22" s="202"/>
      <c r="D22" s="149"/>
      <c r="E22" s="159"/>
      <c r="F22" s="149"/>
      <c r="G22" s="192"/>
      <c r="H22" s="192"/>
    </row>
    <row r="23" spans="1:8" s="151" customFormat="1" ht="11.25">
      <c r="A23" s="199"/>
      <c r="B23" s="200"/>
      <c r="D23" s="149"/>
      <c r="E23" s="159"/>
      <c r="F23" s="149"/>
      <c r="G23" s="192"/>
      <c r="H23" s="192"/>
    </row>
    <row r="24" spans="1:8" s="151" customFormat="1" ht="12">
      <c r="A24" s="137" t="s">
        <v>47</v>
      </c>
      <c r="B24" s="153" t="s">
        <v>48</v>
      </c>
      <c r="D24" s="149"/>
      <c r="E24" s="159"/>
      <c r="F24" s="149"/>
      <c r="G24" s="192"/>
      <c r="H24" s="192"/>
    </row>
    <row r="25" spans="1:8" s="151" customFormat="1" ht="11.25">
      <c r="A25" s="203"/>
      <c r="B25" s="200"/>
      <c r="D25" s="149"/>
      <c r="E25" s="159"/>
      <c r="F25" s="149"/>
      <c r="G25" s="192"/>
      <c r="H25" s="192"/>
    </row>
    <row r="26" spans="1:8" s="151" customFormat="1" ht="11.25">
      <c r="A26" s="203"/>
      <c r="B26" s="200"/>
      <c r="D26" s="149"/>
      <c r="E26" s="159"/>
      <c r="F26" s="149"/>
      <c r="G26" s="192"/>
      <c r="H26" s="192"/>
    </row>
    <row r="27" spans="1:8" s="151" customFormat="1" ht="11.25">
      <c r="A27" s="204"/>
      <c r="D27" s="149"/>
      <c r="E27" s="159"/>
      <c r="F27" s="149"/>
      <c r="G27" s="192"/>
      <c r="H27" s="192"/>
    </row>
    <row r="28" spans="1:8" s="151" customFormat="1" ht="11.25">
      <c r="A28" s="204"/>
      <c r="D28" s="161"/>
      <c r="E28" s="161"/>
      <c r="F28" s="161"/>
    </row>
    <row r="29" spans="1:8" s="151" customFormat="1" ht="11.25" hidden="1">
      <c r="A29" s="205" t="s">
        <v>33</v>
      </c>
      <c r="D29" s="161"/>
      <c r="E29" s="161"/>
      <c r="F29" s="161"/>
    </row>
    <row r="30" spans="1:8" s="151" customFormat="1" ht="11.25">
      <c r="A30" s="150"/>
      <c r="D30" s="161"/>
      <c r="E30" s="161"/>
      <c r="F30" s="161"/>
    </row>
    <row r="31" spans="1:8" s="151" customFormat="1" ht="11.25">
      <c r="A31" s="203"/>
      <c r="C31" s="151" t="s">
        <v>18</v>
      </c>
      <c r="D31" s="161"/>
      <c r="E31" s="161"/>
      <c r="F31" s="161"/>
    </row>
    <row r="32" spans="1:8" s="151" customFormat="1" ht="11.25">
      <c r="A32" s="206"/>
      <c r="D32" s="161"/>
      <c r="E32" s="161"/>
      <c r="F32" s="161"/>
    </row>
    <row r="33" spans="1:8" s="151" customFormat="1" ht="11.25">
      <c r="A33" s="203"/>
      <c r="B33" s="200"/>
      <c r="D33" s="161"/>
      <c r="E33" s="161"/>
      <c r="F33" s="161"/>
    </row>
    <row r="34" spans="1:8" s="151" customFormat="1" ht="11.25">
      <c r="A34" s="203"/>
      <c r="B34" s="200"/>
      <c r="D34" s="161"/>
      <c r="E34" s="161"/>
      <c r="F34" s="161"/>
    </row>
    <row r="35" spans="1:8" s="151" customFormat="1" ht="11.25">
      <c r="A35" s="207"/>
      <c r="B35" s="200"/>
      <c r="D35" s="161"/>
      <c r="E35" s="161"/>
      <c r="F35" s="161"/>
    </row>
    <row r="36" spans="1:8" s="151" customFormat="1" ht="11.25">
      <c r="A36" s="207"/>
      <c r="B36" s="200"/>
      <c r="D36" s="161"/>
      <c r="E36" s="161"/>
      <c r="F36" s="161"/>
    </row>
    <row r="37" spans="1:8" s="151" customFormat="1" ht="11.25">
      <c r="A37" s="208"/>
      <c r="B37" s="209"/>
      <c r="D37" s="161"/>
      <c r="E37" s="161"/>
      <c r="F37" s="161"/>
    </row>
    <row r="38" spans="1:8" s="151" customFormat="1" ht="11.25">
      <c r="A38" s="203"/>
      <c r="B38" s="210"/>
      <c r="D38" s="161"/>
      <c r="E38" s="161"/>
      <c r="F38" s="161"/>
    </row>
    <row r="39" spans="1:8" s="151" customFormat="1" ht="11.25">
      <c r="A39" s="203"/>
      <c r="B39" s="211"/>
      <c r="D39" s="149"/>
      <c r="E39" s="159"/>
      <c r="F39" s="149"/>
      <c r="G39" s="192"/>
      <c r="H39" s="192"/>
    </row>
    <row r="40" spans="1:8" s="151" customFormat="1" ht="11.25">
      <c r="A40" s="203"/>
      <c r="B40" s="200"/>
      <c r="C40" s="150"/>
      <c r="D40" s="149"/>
      <c r="E40" s="159"/>
      <c r="F40" s="149"/>
      <c r="G40" s="192"/>
      <c r="H40" s="192"/>
    </row>
    <row r="41" spans="1:8" s="151" customFormat="1" ht="11.25">
      <c r="A41" s="203"/>
      <c r="B41" s="200"/>
      <c r="C41" s="150"/>
      <c r="D41" s="149"/>
      <c r="E41" s="159"/>
      <c r="F41" s="149"/>
      <c r="G41" s="192"/>
      <c r="H41" s="192"/>
    </row>
    <row r="42" spans="1:8" s="151" customFormat="1" ht="11.25">
      <c r="A42" s="203"/>
      <c r="B42" s="200"/>
      <c r="C42" s="150"/>
      <c r="D42" s="149"/>
      <c r="E42" s="159"/>
      <c r="F42" s="149"/>
      <c r="G42" s="192"/>
      <c r="H42" s="192"/>
    </row>
    <row r="43" spans="1:8" s="151" customFormat="1" ht="11.25">
      <c r="A43" s="203"/>
      <c r="B43" s="200"/>
      <c r="C43" s="150"/>
      <c r="D43" s="149"/>
      <c r="E43" s="159"/>
      <c r="F43" s="149"/>
      <c r="G43" s="192"/>
      <c r="H43" s="192"/>
    </row>
    <row r="44" spans="1:8" s="151" customFormat="1" ht="11.25">
      <c r="A44" s="203"/>
      <c r="B44" s="200"/>
      <c r="C44" s="150"/>
      <c r="D44" s="149"/>
      <c r="E44" s="159"/>
      <c r="F44" s="149"/>
      <c r="G44" s="192"/>
      <c r="H44" s="192"/>
    </row>
    <row r="45" spans="1:8" s="151" customFormat="1" ht="11.25">
      <c r="A45" s="203"/>
      <c r="B45" s="200"/>
      <c r="C45" s="150"/>
      <c r="D45" s="149"/>
      <c r="E45" s="159"/>
      <c r="F45" s="149"/>
      <c r="G45" s="192"/>
      <c r="H45" s="192"/>
    </row>
    <row r="46" spans="1:8" s="151" customFormat="1" ht="11.25">
      <c r="A46" s="203"/>
      <c r="B46" s="200"/>
      <c r="C46" s="150"/>
      <c r="D46" s="149"/>
      <c r="E46" s="159"/>
      <c r="F46" s="149"/>
      <c r="G46" s="192"/>
      <c r="H46" s="192"/>
    </row>
    <row r="47" spans="1:8" s="151" customFormat="1" ht="11.25">
      <c r="A47" s="203"/>
      <c r="B47" s="200"/>
      <c r="C47" s="150"/>
      <c r="D47" s="149"/>
      <c r="E47" s="159"/>
      <c r="F47" s="149"/>
      <c r="G47" s="192"/>
      <c r="H47" s="192"/>
    </row>
    <row r="48" spans="1:8" s="151" customFormat="1" ht="11.25">
      <c r="A48" s="203"/>
      <c r="B48" s="200"/>
      <c r="C48" s="150"/>
      <c r="D48" s="149"/>
      <c r="E48" s="159"/>
      <c r="F48" s="149"/>
      <c r="G48" s="192"/>
      <c r="H48" s="192"/>
    </row>
    <row r="49" spans="1:8" s="151" customFormat="1" ht="11.25">
      <c r="A49" s="203"/>
      <c r="B49" s="200"/>
      <c r="C49" s="150"/>
      <c r="D49" s="149"/>
      <c r="E49" s="159"/>
      <c r="F49" s="149"/>
      <c r="G49" s="192"/>
      <c r="H49" s="192"/>
    </row>
    <row r="50" spans="1:8" s="151" customFormat="1" ht="11.25">
      <c r="A50" s="203"/>
      <c r="B50" s="200"/>
      <c r="C50" s="150"/>
      <c r="D50" s="149"/>
      <c r="E50" s="159"/>
      <c r="F50" s="149"/>
      <c r="G50" s="192"/>
      <c r="H50" s="192"/>
    </row>
    <row r="51" spans="1:8" s="151" customFormat="1" ht="11.25">
      <c r="A51" s="203"/>
      <c r="B51" s="200"/>
      <c r="C51" s="150"/>
      <c r="D51" s="149"/>
      <c r="E51" s="159"/>
      <c r="F51" s="149"/>
      <c r="G51" s="192"/>
      <c r="H51" s="192"/>
    </row>
    <row r="52" spans="1:8" s="151" customFormat="1" ht="11.25">
      <c r="A52" s="203"/>
      <c r="B52" s="200"/>
      <c r="C52" s="150"/>
      <c r="D52" s="149"/>
      <c r="E52" s="159"/>
      <c r="F52" s="149"/>
      <c r="G52" s="192"/>
      <c r="H52" s="192"/>
    </row>
    <row r="53" spans="1:8" s="151" customFormat="1" ht="11.25">
      <c r="A53" s="203"/>
      <c r="B53" s="200"/>
      <c r="C53" s="150"/>
      <c r="D53" s="149"/>
      <c r="E53" s="159"/>
      <c r="F53" s="149"/>
      <c r="G53" s="192"/>
      <c r="H53" s="192"/>
    </row>
    <row r="54" spans="1:8" s="151" customFormat="1" ht="11.25">
      <c r="A54" s="203"/>
      <c r="B54" s="200"/>
      <c r="C54" s="150"/>
      <c r="D54" s="149"/>
      <c r="E54" s="159"/>
      <c r="F54" s="149"/>
      <c r="G54" s="192"/>
      <c r="H54" s="192"/>
    </row>
    <row r="55" spans="1:8" s="151" customFormat="1" ht="11.25">
      <c r="A55" s="203"/>
      <c r="B55" s="200"/>
      <c r="C55" s="150"/>
      <c r="D55" s="149"/>
      <c r="E55" s="159"/>
      <c r="F55" s="149"/>
      <c r="G55" s="192"/>
      <c r="H55" s="192"/>
    </row>
    <row r="56" spans="1:8" s="151" customFormat="1" ht="11.25">
      <c r="A56" s="203"/>
      <c r="B56" s="200"/>
      <c r="C56" s="150"/>
      <c r="D56" s="149"/>
      <c r="E56" s="159"/>
      <c r="F56" s="149"/>
      <c r="G56" s="192"/>
      <c r="H56" s="192"/>
    </row>
    <row r="57" spans="1:8" s="151" customFormat="1" ht="11.25">
      <c r="A57" s="203"/>
      <c r="B57" s="200"/>
      <c r="C57" s="150"/>
      <c r="D57" s="149"/>
      <c r="E57" s="159"/>
      <c r="F57" s="149"/>
      <c r="G57" s="192"/>
      <c r="H57" s="192"/>
    </row>
    <row r="58" spans="1:8" s="151" customFormat="1" ht="11.25">
      <c r="A58" s="203"/>
      <c r="B58" s="200"/>
      <c r="C58" s="150"/>
      <c r="D58" s="149"/>
      <c r="E58" s="159"/>
      <c r="F58" s="149"/>
      <c r="G58" s="192"/>
      <c r="H58" s="192"/>
    </row>
    <row r="59" spans="1:8" s="151" customFormat="1" ht="11.25">
      <c r="A59" s="203"/>
      <c r="B59" s="200"/>
      <c r="C59" s="150"/>
      <c r="D59" s="149"/>
      <c r="E59" s="159"/>
      <c r="F59" s="149"/>
      <c r="G59" s="192"/>
      <c r="H59" s="192"/>
    </row>
    <row r="60" spans="1:8" s="151" customFormat="1" ht="11.25">
      <c r="A60" s="203"/>
      <c r="B60" s="200"/>
      <c r="C60" s="150"/>
      <c r="D60" s="149"/>
      <c r="E60" s="159"/>
      <c r="F60" s="149"/>
      <c r="G60" s="192"/>
      <c r="H60" s="192"/>
    </row>
    <row r="61" spans="1:8" s="151" customFormat="1" ht="11.25">
      <c r="A61" s="203"/>
      <c r="B61" s="200"/>
      <c r="C61" s="150"/>
      <c r="D61" s="149"/>
      <c r="E61" s="159"/>
      <c r="F61" s="149"/>
      <c r="G61" s="192"/>
      <c r="H61" s="192"/>
    </row>
    <row r="62" spans="1:8" s="151" customFormat="1" ht="11.25">
      <c r="A62" s="203"/>
      <c r="B62" s="200"/>
      <c r="C62" s="150"/>
      <c r="D62" s="149"/>
      <c r="E62" s="159"/>
      <c r="F62" s="149"/>
      <c r="G62" s="192"/>
      <c r="H62" s="192"/>
    </row>
    <row r="63" spans="1:8" s="151" customFormat="1" ht="11.25">
      <c r="A63" s="203"/>
      <c r="B63" s="200"/>
      <c r="C63" s="212"/>
      <c r="D63" s="161"/>
      <c r="E63" s="161"/>
    </row>
    <row r="64" spans="1:8" s="151" customFormat="1" ht="11.25">
      <c r="A64" s="203"/>
      <c r="B64" s="200"/>
      <c r="C64" s="212"/>
      <c r="D64" s="161"/>
      <c r="E64" s="161"/>
    </row>
    <row r="65" spans="1:6" s="151" customFormat="1" ht="11.25">
      <c r="A65" s="203"/>
      <c r="B65" s="200"/>
      <c r="C65" s="212"/>
      <c r="D65" s="161"/>
      <c r="E65" s="161"/>
    </row>
    <row r="66" spans="1:6" s="151" customFormat="1" ht="11.25">
      <c r="A66" s="203"/>
      <c r="B66" s="200"/>
      <c r="C66" s="212"/>
      <c r="D66" s="161"/>
      <c r="E66" s="161"/>
    </row>
    <row r="67" spans="1:6" s="151" customFormat="1" ht="11.25">
      <c r="A67" s="203"/>
      <c r="B67" s="200"/>
      <c r="C67" s="212"/>
      <c r="D67" s="161"/>
      <c r="E67" s="161"/>
    </row>
    <row r="68" spans="1:6" s="151" customFormat="1" ht="11.25">
      <c r="A68" s="203"/>
      <c r="B68" s="200"/>
      <c r="C68" s="212"/>
      <c r="D68" s="161"/>
      <c r="E68" s="161"/>
    </row>
    <row r="69" spans="1:6" s="151" customFormat="1" ht="11.25">
      <c r="A69" s="203"/>
      <c r="B69" s="200"/>
      <c r="C69" s="212"/>
      <c r="D69" s="161"/>
      <c r="E69" s="161"/>
    </row>
    <row r="70" spans="1:6" s="151" customFormat="1" ht="11.25">
      <c r="A70" s="203"/>
      <c r="B70" s="200"/>
      <c r="C70" s="212"/>
      <c r="D70" s="161"/>
      <c r="E70" s="161"/>
    </row>
    <row r="71" spans="1:6" s="151" customFormat="1" ht="11.25">
      <c r="A71" s="203"/>
      <c r="B71" s="200"/>
      <c r="C71" s="212"/>
      <c r="D71" s="161"/>
      <c r="E71" s="161"/>
      <c r="F71" s="161"/>
    </row>
    <row r="72" spans="1:6" s="151" customFormat="1" ht="11.25">
      <c r="A72" s="203"/>
      <c r="B72" s="200"/>
      <c r="C72" s="212"/>
      <c r="D72" s="161"/>
      <c r="E72" s="161"/>
      <c r="F72" s="161"/>
    </row>
    <row r="73" spans="1:6" s="151" customFormat="1" ht="11.25">
      <c r="A73" s="203"/>
      <c r="B73" s="200"/>
      <c r="C73" s="212"/>
      <c r="D73" s="161"/>
      <c r="E73" s="161"/>
      <c r="F73" s="161"/>
    </row>
    <row r="74" spans="1:6" s="151" customFormat="1" ht="11.25">
      <c r="A74" s="203"/>
      <c r="B74" s="200"/>
      <c r="C74" s="212"/>
      <c r="D74" s="161"/>
      <c r="E74" s="161"/>
      <c r="F74" s="161"/>
    </row>
    <row r="75" spans="1:6" s="151" customFormat="1" ht="11.25">
      <c r="A75" s="203"/>
      <c r="B75" s="200"/>
      <c r="C75" s="212"/>
      <c r="D75" s="161"/>
      <c r="E75" s="161"/>
      <c r="F75" s="161"/>
    </row>
    <row r="76" spans="1:6" s="151" customFormat="1" ht="11.25">
      <c r="A76" s="203"/>
      <c r="B76" s="200"/>
      <c r="C76" s="212"/>
      <c r="D76" s="161"/>
      <c r="E76" s="161"/>
      <c r="F76" s="161"/>
    </row>
    <row r="77" spans="1:6" s="151" customFormat="1" ht="11.25">
      <c r="A77" s="203"/>
      <c r="B77" s="200"/>
      <c r="C77" s="212"/>
      <c r="D77" s="161"/>
      <c r="E77" s="161"/>
      <c r="F77" s="161"/>
    </row>
    <row r="78" spans="1:6" s="151" customFormat="1" ht="11.25">
      <c r="A78" s="203"/>
      <c r="B78" s="200"/>
      <c r="C78" s="212"/>
      <c r="D78" s="161"/>
      <c r="E78" s="161"/>
      <c r="F78" s="161"/>
    </row>
    <row r="79" spans="1:6" s="151" customFormat="1" ht="11.25">
      <c r="A79" s="203"/>
      <c r="B79" s="200"/>
      <c r="C79" s="212"/>
      <c r="D79" s="161"/>
      <c r="E79" s="161"/>
      <c r="F79" s="161"/>
    </row>
    <row r="80" spans="1:6" s="151" customFormat="1" ht="11.25">
      <c r="A80" s="203"/>
      <c r="B80" s="200"/>
      <c r="C80" s="212"/>
      <c r="D80" s="161"/>
      <c r="E80" s="161"/>
      <c r="F80" s="161"/>
    </row>
    <row r="81" spans="1:6" s="151" customFormat="1" ht="11.25">
      <c r="A81" s="203"/>
      <c r="B81" s="200"/>
      <c r="C81" s="212"/>
      <c r="D81" s="161"/>
      <c r="E81" s="161"/>
      <c r="F81" s="161"/>
    </row>
    <row r="82" spans="1:6" s="151" customFormat="1" ht="11.25">
      <c r="A82" s="203"/>
      <c r="B82" s="200"/>
      <c r="C82" s="212"/>
      <c r="D82" s="161"/>
      <c r="E82" s="161"/>
      <c r="F82" s="161"/>
    </row>
    <row r="83" spans="1:6" s="151" customFormat="1" ht="11.25">
      <c r="A83" s="203"/>
      <c r="B83" s="200"/>
      <c r="C83" s="212"/>
      <c r="D83" s="161"/>
      <c r="E83" s="161"/>
      <c r="F83" s="161"/>
    </row>
    <row r="84" spans="1:6" s="151" customFormat="1" ht="11.25">
      <c r="A84" s="203"/>
      <c r="B84" s="200"/>
      <c r="C84" s="212"/>
      <c r="D84" s="161"/>
      <c r="E84" s="161"/>
      <c r="F84" s="161"/>
    </row>
    <row r="85" spans="1:6" s="151" customFormat="1" ht="11.25">
      <c r="A85" s="203"/>
      <c r="B85" s="200"/>
      <c r="C85" s="212"/>
      <c r="D85" s="161"/>
      <c r="E85" s="161"/>
      <c r="F85" s="161"/>
    </row>
    <row r="86" spans="1:6" s="151" customFormat="1" ht="11.25">
      <c r="A86" s="203"/>
      <c r="B86" s="200"/>
      <c r="C86" s="212"/>
      <c r="D86" s="161"/>
      <c r="E86" s="161"/>
      <c r="F86" s="161"/>
    </row>
    <row r="87" spans="1:6" s="151" customFormat="1" ht="11.25">
      <c r="A87" s="203"/>
      <c r="B87" s="200"/>
      <c r="C87" s="212"/>
      <c r="D87" s="161"/>
      <c r="E87" s="161"/>
      <c r="F87" s="161"/>
    </row>
    <row r="88" spans="1:6" s="151" customFormat="1" ht="11.25">
      <c r="A88" s="203"/>
      <c r="B88" s="200"/>
      <c r="C88" s="212"/>
      <c r="D88" s="161"/>
      <c r="E88" s="161"/>
      <c r="F88" s="161"/>
    </row>
    <row r="89" spans="1:6" s="151" customFormat="1" ht="11.25">
      <c r="A89" s="203"/>
      <c r="B89" s="200"/>
      <c r="C89" s="212"/>
      <c r="D89" s="161"/>
      <c r="E89" s="161"/>
      <c r="F89" s="161"/>
    </row>
    <row r="90" spans="1:6" s="151" customFormat="1" ht="11.25">
      <c r="A90" s="203"/>
      <c r="B90" s="200"/>
      <c r="C90" s="212"/>
      <c r="D90" s="161"/>
      <c r="E90" s="161"/>
      <c r="F90" s="161"/>
    </row>
    <row r="91" spans="1:6" s="151" customFormat="1" ht="11.25">
      <c r="A91" s="203"/>
      <c r="B91" s="200"/>
      <c r="C91" s="212"/>
      <c r="D91" s="161"/>
      <c r="E91" s="161"/>
      <c r="F91" s="161"/>
    </row>
    <row r="92" spans="1:6" s="151" customFormat="1" ht="11.25">
      <c r="A92" s="203"/>
      <c r="B92" s="200"/>
      <c r="C92" s="212"/>
      <c r="D92" s="161"/>
      <c r="E92" s="161"/>
      <c r="F92" s="161"/>
    </row>
    <row r="93" spans="1:6" s="151" customFormat="1" ht="11.25">
      <c r="A93" s="203"/>
      <c r="B93" s="200"/>
      <c r="C93" s="212"/>
      <c r="D93" s="161"/>
      <c r="E93" s="161"/>
      <c r="F93" s="161"/>
    </row>
    <row r="94" spans="1:6" s="151" customFormat="1" ht="11.25">
      <c r="A94" s="203"/>
      <c r="B94" s="200"/>
      <c r="C94" s="212"/>
      <c r="D94" s="161"/>
      <c r="E94" s="161"/>
      <c r="F94" s="161"/>
    </row>
    <row r="95" spans="1:6" s="151" customFormat="1" ht="11.25">
      <c r="A95" s="203"/>
      <c r="B95" s="200"/>
      <c r="C95" s="212"/>
      <c r="D95" s="161"/>
      <c r="E95" s="161"/>
      <c r="F95" s="161"/>
    </row>
    <row r="96" spans="1:6" s="151" customFormat="1" ht="11.25">
      <c r="A96" s="203"/>
      <c r="B96" s="200"/>
      <c r="C96" s="212"/>
      <c r="D96" s="161"/>
      <c r="E96" s="161"/>
      <c r="F96" s="161"/>
    </row>
    <row r="97" spans="1:6" s="151" customFormat="1" ht="11.25">
      <c r="A97" s="203"/>
      <c r="B97" s="200"/>
      <c r="C97" s="212"/>
      <c r="D97" s="161"/>
      <c r="E97" s="161"/>
      <c r="F97" s="161"/>
    </row>
    <row r="98" spans="1:6" s="151" customFormat="1" ht="11.25">
      <c r="A98" s="203"/>
      <c r="B98" s="200"/>
      <c r="C98" s="212"/>
      <c r="D98" s="161"/>
      <c r="E98" s="161"/>
      <c r="F98" s="161"/>
    </row>
    <row r="99" spans="1:6" s="151" customFormat="1" ht="11.25">
      <c r="A99" s="203"/>
      <c r="B99" s="200"/>
      <c r="C99" s="212"/>
      <c r="D99" s="161"/>
      <c r="E99" s="161"/>
      <c r="F99" s="161"/>
    </row>
    <row r="100" spans="1:6" s="151" customFormat="1" ht="11.25">
      <c r="A100" s="203"/>
      <c r="B100" s="200"/>
      <c r="C100" s="212"/>
      <c r="D100" s="161"/>
      <c r="E100" s="161"/>
      <c r="F100" s="161"/>
    </row>
  </sheetData>
  <sheetProtection password="CF33" sheet="1" objects="1" scenarios="1" formatCells="0" formatColumns="0" formatRows="0"/>
  <mergeCells count="1"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8.85546875" defaultRowHeight="12.75"/>
  <cols>
    <col min="1" max="1" width="3.7109375" style="36" customWidth="1"/>
    <col min="2" max="2" width="4.7109375" style="36" bestFit="1" customWidth="1"/>
    <col min="3" max="3" width="7.7109375" style="36" customWidth="1"/>
    <col min="4" max="4" width="40.7109375" style="33" customWidth="1"/>
    <col min="5" max="5" width="25.5703125" style="38" bestFit="1" customWidth="1"/>
    <col min="6" max="6" width="6.85546875" style="36" bestFit="1" customWidth="1"/>
    <col min="7" max="7" width="11.7109375" style="33" customWidth="1"/>
    <col min="8" max="8" width="16.7109375" style="33" customWidth="1"/>
    <col min="9" max="9" width="6.140625" style="33" hidden="1" customWidth="1"/>
    <col min="10" max="10" width="9.7109375" style="33" hidden="1" customWidth="1"/>
    <col min="11" max="11" width="4.28515625" style="33" hidden="1" customWidth="1"/>
    <col min="12" max="16384" width="8.85546875" style="33"/>
  </cols>
  <sheetData>
    <row r="1" spans="1:11" s="29" customFormat="1" ht="20.25">
      <c r="A1" s="127" t="str">
        <f>Setup!$B$3 &amp; ", " &amp; Setup!$B$4 &amp; ", " &amp; Setup!$B$6 &amp; ", " &amp; Setup!$B$8 &amp; "-" &amp; Setup!$B$9</f>
        <v>ΣΤ' ΕΝΩΣΗ, Open Προπαιδικό U10, ΡΗΓΑΣ ΑΟΑΑ, 30/05/2026-31/05/2026</v>
      </c>
      <c r="B1" s="127"/>
      <c r="C1" s="127"/>
      <c r="D1" s="127"/>
      <c r="E1" s="127"/>
      <c r="F1" s="127"/>
      <c r="G1" s="127"/>
      <c r="H1" s="108" t="str">
        <f>Setup!$B$7</f>
        <v>GIRLS 10</v>
      </c>
    </row>
    <row r="2" spans="1:11" s="30" customFormat="1" ht="13.9" customHeight="1">
      <c r="A2" s="109" t="s">
        <v>10</v>
      </c>
      <c r="B2" s="109" t="s">
        <v>17</v>
      </c>
      <c r="C2" s="109" t="s">
        <v>7</v>
      </c>
      <c r="D2" s="109" t="s">
        <v>6</v>
      </c>
      <c r="E2" s="109" t="s">
        <v>9</v>
      </c>
      <c r="F2" s="198" t="s">
        <v>81</v>
      </c>
      <c r="G2" s="109" t="s">
        <v>8</v>
      </c>
      <c r="H2" s="109" t="s">
        <v>49</v>
      </c>
      <c r="I2" s="107" t="s">
        <v>40</v>
      </c>
      <c r="J2" s="133" t="s">
        <v>50</v>
      </c>
      <c r="K2" s="133" t="s">
        <v>51</v>
      </c>
    </row>
    <row r="3" spans="1:11">
      <c r="A3" s="112">
        <v>1</v>
      </c>
      <c r="B3" s="31"/>
      <c r="C3" s="31">
        <v>1</v>
      </c>
      <c r="D3" s="32" t="s">
        <v>89</v>
      </c>
      <c r="E3" s="32" t="s">
        <v>90</v>
      </c>
      <c r="F3" s="31"/>
      <c r="G3" s="31"/>
      <c r="H3" s="32"/>
      <c r="I3" s="42">
        <f t="shared" ref="I3:I10" si="0">IF(D3&gt;" ",F3+J3,0)</f>
        <v>3.4200552671923075E-2</v>
      </c>
      <c r="J3" s="134">
        <v>3.4200552671923075E-2</v>
      </c>
      <c r="K3" s="136" t="str">
        <f t="shared" ref="K3:K10" si="1">TRIM(D3)</f>
        <v>ΚΑΝΕΛΛΑΚΗ ΑΔΑΜΑΝΤΙΑ</v>
      </c>
    </row>
    <row r="4" spans="1:11">
      <c r="A4" s="112">
        <v>2</v>
      </c>
      <c r="B4" s="31"/>
      <c r="C4" s="31">
        <v>2</v>
      </c>
      <c r="D4" s="32" t="s">
        <v>91</v>
      </c>
      <c r="E4" s="32" t="s">
        <v>84</v>
      </c>
      <c r="F4" s="31"/>
      <c r="G4" s="31"/>
      <c r="H4" s="32"/>
      <c r="I4" s="42">
        <f t="shared" si="0"/>
        <v>2.8495325252514577E-2</v>
      </c>
      <c r="J4" s="134">
        <v>2.8495325252514577E-2</v>
      </c>
      <c r="K4" s="136" t="str">
        <f t="shared" si="1"/>
        <v>ΚΩΣΤΑΚΗ ΚΑΤΕΡΙΝΑ</v>
      </c>
    </row>
    <row r="5" spans="1:11">
      <c r="A5" s="112">
        <v>3</v>
      </c>
      <c r="B5" s="31"/>
      <c r="C5" s="31">
        <v>3</v>
      </c>
      <c r="D5" s="32" t="s">
        <v>92</v>
      </c>
      <c r="E5" s="32" t="s">
        <v>90</v>
      </c>
      <c r="F5" s="31"/>
      <c r="G5" s="31"/>
      <c r="H5" s="32"/>
      <c r="I5" s="42">
        <f t="shared" si="0"/>
        <v>1.960280208688683E-2</v>
      </c>
      <c r="J5" s="134">
        <v>1.960280208688683E-2</v>
      </c>
      <c r="K5" s="136" t="str">
        <f t="shared" si="1"/>
        <v>ΚΑΤΣΑΡΗ ΑΝΤΩΝΙΑ</v>
      </c>
    </row>
    <row r="6" spans="1:11">
      <c r="A6" s="112">
        <v>4</v>
      </c>
      <c r="B6" s="31"/>
      <c r="C6" s="31">
        <v>4</v>
      </c>
      <c r="D6" s="32" t="s">
        <v>93</v>
      </c>
      <c r="E6" s="32" t="s">
        <v>94</v>
      </c>
      <c r="F6" s="31"/>
      <c r="G6" s="35"/>
      <c r="H6" s="32"/>
      <c r="I6" s="42">
        <f t="shared" si="0"/>
        <v>1.6488779790351973E-2</v>
      </c>
      <c r="J6" s="134">
        <v>1.6488779790351973E-2</v>
      </c>
      <c r="K6" s="136" t="str">
        <f t="shared" si="1"/>
        <v>ΣΩΤΗΡΟΠΟΥΛΟΥ ΜΑΓΙΑ</v>
      </c>
    </row>
    <row r="7" spans="1:11">
      <c r="A7" s="112">
        <v>5</v>
      </c>
      <c r="B7" s="31"/>
      <c r="C7" s="31">
        <v>5</v>
      </c>
      <c r="D7" s="32" t="s">
        <v>95</v>
      </c>
      <c r="E7" s="268" t="s">
        <v>96</v>
      </c>
      <c r="F7" s="31"/>
      <c r="G7" s="31"/>
      <c r="H7" s="32"/>
      <c r="I7" s="42">
        <f t="shared" si="0"/>
        <v>9.2960043566090549E-3</v>
      </c>
      <c r="J7" s="134">
        <v>9.2960043566090549E-3</v>
      </c>
      <c r="K7" s="136" t="str">
        <f t="shared" si="1"/>
        <v>ΨΥΛΛΑ ΜΑΓΙΑ</v>
      </c>
    </row>
    <row r="8" spans="1:11">
      <c r="A8" s="112">
        <v>6</v>
      </c>
      <c r="B8" s="31"/>
      <c r="C8" s="31">
        <v>6</v>
      </c>
      <c r="D8" s="32" t="s">
        <v>97</v>
      </c>
      <c r="E8" s="268" t="s">
        <v>101</v>
      </c>
      <c r="F8" s="31"/>
      <c r="G8" s="31"/>
      <c r="H8" s="32"/>
      <c r="I8" s="42">
        <f t="shared" si="0"/>
        <v>6.4847112844151752E-3</v>
      </c>
      <c r="J8" s="134">
        <v>6.4847112844151752E-3</v>
      </c>
      <c r="K8" s="136" t="str">
        <f t="shared" si="1"/>
        <v>ΜΕΞΗ ΙΣΜΗΝΗ</v>
      </c>
    </row>
    <row r="9" spans="1:11">
      <c r="A9" s="112">
        <v>7</v>
      </c>
      <c r="B9" s="31"/>
      <c r="C9" s="31">
        <v>7</v>
      </c>
      <c r="D9" s="32" t="s">
        <v>99</v>
      </c>
      <c r="E9" s="268" t="s">
        <v>98</v>
      </c>
      <c r="F9" s="31"/>
      <c r="G9" s="31"/>
      <c r="H9" s="32"/>
      <c r="I9" s="42">
        <f t="shared" si="0"/>
        <v>3.5766690248037773E-3</v>
      </c>
      <c r="J9" s="134">
        <v>3.5766690248037773E-3</v>
      </c>
      <c r="K9" s="136" t="str">
        <f t="shared" si="1"/>
        <v>ΟΙΚΟΝΟΜΟΥ ΕΛΙΝΑ</v>
      </c>
    </row>
    <row r="10" spans="1:11">
      <c r="A10" s="112">
        <v>8</v>
      </c>
      <c r="B10" s="31"/>
      <c r="C10" s="31">
        <v>8</v>
      </c>
      <c r="D10" s="32" t="s">
        <v>100</v>
      </c>
      <c r="E10" s="32" t="s">
        <v>84</v>
      </c>
      <c r="F10" s="31"/>
      <c r="G10" s="34"/>
      <c r="H10" s="32"/>
      <c r="I10" s="42">
        <f t="shared" si="0"/>
        <v>2.3862295008980103E-3</v>
      </c>
      <c r="J10" s="134">
        <v>2.3862295008980103E-3</v>
      </c>
      <c r="K10" s="136" t="str">
        <f t="shared" si="1"/>
        <v>ΜΠΟΚΑ ΜΙΧΑΕΛΑ</v>
      </c>
    </row>
    <row r="11" spans="1:11">
      <c r="C11" s="37"/>
      <c r="D11" s="37"/>
    </row>
    <row r="12" spans="1:11">
      <c r="C12" s="37"/>
    </row>
    <row r="13" spans="1:11">
      <c r="B13" s="270" t="s">
        <v>43</v>
      </c>
      <c r="C13" s="270"/>
      <c r="D13" s="270"/>
      <c r="E13" s="110" t="s">
        <v>41</v>
      </c>
    </row>
    <row r="14" spans="1:11">
      <c r="B14" s="109" t="s">
        <v>10</v>
      </c>
      <c r="C14" s="109" t="s">
        <v>7</v>
      </c>
      <c r="D14" s="109" t="s">
        <v>6</v>
      </c>
      <c r="E14" s="111" t="s">
        <v>42</v>
      </c>
      <c r="H14" s="105" t="str">
        <f>Setup!$B$10</f>
        <v>ΚΟΚΚΟΣΗ ΧΑΡΑ</v>
      </c>
    </row>
    <row r="15" spans="1:11">
      <c r="B15" s="112">
        <v>1</v>
      </c>
      <c r="C15" s="31"/>
      <c r="D15" s="32"/>
      <c r="E15" s="31"/>
    </row>
    <row r="16" spans="1:11">
      <c r="B16" s="112">
        <v>2</v>
      </c>
      <c r="C16" s="31"/>
      <c r="D16" s="32"/>
      <c r="E16" s="31"/>
    </row>
    <row r="17" spans="2:9">
      <c r="B17" s="112">
        <v>3</v>
      </c>
      <c r="C17" s="31"/>
      <c r="D17" s="32"/>
      <c r="E17" s="31"/>
    </row>
    <row r="18" spans="2:9">
      <c r="B18" s="112">
        <v>4</v>
      </c>
      <c r="C18" s="31"/>
      <c r="D18" s="32"/>
      <c r="E18" s="31"/>
      <c r="H18" s="104"/>
    </row>
    <row r="19" spans="2:9">
      <c r="B19" s="112">
        <v>5</v>
      </c>
      <c r="C19" s="31"/>
      <c r="D19" s="32"/>
      <c r="E19" s="31"/>
      <c r="I19" s="41"/>
    </row>
    <row r="20" spans="2:9">
      <c r="C20" s="39"/>
      <c r="D20" s="40"/>
    </row>
  </sheetData>
  <sheetProtection password="CF33" sheet="1" objects="1" scenarios="1" formatCells="0" formatColumns="0" formatRows="0" sort="0"/>
  <sortState ref="B3:K10">
    <sortCondition descending="1" ref="I3:I10"/>
    <sortCondition ref="D3:D10"/>
  </sortState>
  <mergeCells count="1">
    <mergeCell ref="B13:D13"/>
  </mergeCells>
  <phoneticPr fontId="1" type="noConversion"/>
  <dataValidations disablePrompts="1" count="2">
    <dataValidation type="list" allowBlank="1" showInputMessage="1" showErrorMessage="1" sqref="C15:C19">
      <formula1>$C$3:$C$10</formula1>
    </dataValidation>
    <dataValidation type="list" allowBlank="1" showInputMessage="1" showErrorMessage="1" sqref="D15:D19">
      <formula1>$D$3:$D$10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FF00"/>
    <pageSetUpPr fitToPage="1"/>
  </sheetPr>
  <dimension ref="A1:S48"/>
  <sheetViews>
    <sheetView showGridLines="0" showZeros="0" tabSelected="1" zoomScale="115" zoomScaleNormal="115" workbookViewId="0">
      <pane ySplit="1" topLeftCell="A2" activePane="bottomLeft" state="frozen"/>
      <selection pane="bottomLeft" activeCell="R10" sqref="R10"/>
    </sheetView>
  </sheetViews>
  <sheetFormatPr defaultColWidth="5.140625" defaultRowHeight="11.25"/>
  <cols>
    <col min="1" max="1" width="2.42578125" style="44" bestFit="1" customWidth="1"/>
    <col min="2" max="2" width="2.28515625" style="44" hidden="1" customWidth="1"/>
    <col min="3" max="3" width="5.85546875" style="46" hidden="1" customWidth="1"/>
    <col min="4" max="4" width="5.28515625" style="47" hidden="1" customWidth="1"/>
    <col min="5" max="5" width="4.5703125" style="47" hidden="1" customWidth="1"/>
    <col min="6" max="6" width="3" style="44" hidden="1" customWidth="1"/>
    <col min="7" max="7" width="3.42578125" style="46" bestFit="1" customWidth="1"/>
    <col min="8" max="8" width="4.7109375" style="46" customWidth="1"/>
    <col min="9" max="9" width="5.140625" style="128" customWidth="1"/>
    <col min="10" max="10" width="22.42578125" style="44" bestFit="1" customWidth="1"/>
    <col min="11" max="11" width="16.7109375" style="44" hidden="1" customWidth="1"/>
    <col min="12" max="12" width="18.7109375" style="44" bestFit="1" customWidth="1"/>
    <col min="13" max="13" width="1.85546875" style="82" customWidth="1"/>
    <col min="14" max="14" width="14" style="44" customWidth="1"/>
    <col min="15" max="15" width="0.85546875" style="66" customWidth="1"/>
    <col min="16" max="16" width="11.7109375" style="44" customWidth="1"/>
    <col min="17" max="17" width="1.5703125" style="66" bestFit="1" customWidth="1"/>
    <col min="18" max="18" width="10.7109375" style="43" customWidth="1"/>
    <col min="19" max="19" width="5.140625" style="43" customWidth="1"/>
    <col min="20" max="16384" width="5.140625" style="44"/>
  </cols>
  <sheetData>
    <row r="1" spans="1:19" ht="17.45" customHeight="1">
      <c r="A1" s="272" t="str">
        <f>Setup!B3 &amp; ", " &amp; Setup!B4 &amp; ", " &amp; Setup!B6 &amp; ", " &amp; Setup!B8 &amp; "-" &amp; Setup!B9</f>
        <v>ΣΤ' ΕΝΩΣΗ, Open Προπαιδικό U10, ΡΗΓΑΣ ΑΟΑΑ, 30/05/2026-31/05/2026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26"/>
      <c r="R1" s="267" t="str">
        <f>Setup!B7</f>
        <v>GIRLS 10</v>
      </c>
    </row>
    <row r="2" spans="1:19" s="147" customFormat="1">
      <c r="A2" s="141"/>
      <c r="B2" s="142">
        <f>Setup!$B$18</f>
        <v>0</v>
      </c>
      <c r="C2" s="142"/>
      <c r="D2" s="143"/>
      <c r="E2" s="143"/>
      <c r="F2" s="144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1:19">
      <c r="J3" s="273">
        <v>8</v>
      </c>
      <c r="K3" s="273"/>
      <c r="L3" s="273"/>
      <c r="M3" s="48"/>
      <c r="N3" s="106">
        <v>4</v>
      </c>
      <c r="O3" s="49"/>
      <c r="P3" s="106">
        <v>2</v>
      </c>
      <c r="Q3" s="49"/>
      <c r="R3" s="50" t="s">
        <v>36</v>
      </c>
    </row>
    <row r="4" spans="1:19" s="46" customFormat="1" ht="12" customHeight="1">
      <c r="A4" s="51" t="s">
        <v>10</v>
      </c>
      <c r="B4" s="52"/>
      <c r="C4" s="53" t="s">
        <v>21</v>
      </c>
      <c r="D4" s="53" t="s">
        <v>30</v>
      </c>
      <c r="E4" s="53" t="s">
        <v>29</v>
      </c>
      <c r="F4" s="51" t="s">
        <v>17</v>
      </c>
      <c r="G4" s="51" t="s">
        <v>11</v>
      </c>
      <c r="H4" s="51" t="s">
        <v>44</v>
      </c>
      <c r="I4" s="51" t="s">
        <v>7</v>
      </c>
      <c r="J4" s="54" t="s">
        <v>6</v>
      </c>
      <c r="K4" s="53" t="s">
        <v>28</v>
      </c>
      <c r="L4" s="54" t="s">
        <v>9</v>
      </c>
      <c r="M4" s="45"/>
      <c r="O4" s="55"/>
      <c r="Q4" s="55"/>
      <c r="R4" s="56"/>
      <c r="S4" s="56"/>
    </row>
    <row r="5" spans="1:19" ht="12" customHeight="1">
      <c r="A5" s="122">
        <v>1</v>
      </c>
      <c r="B5" s="57">
        <v>1</v>
      </c>
      <c r="C5" s="58"/>
      <c r="D5" s="59"/>
      <c r="E5" s="60">
        <v>0</v>
      </c>
      <c r="F5" s="61">
        <f>IF(NOT($G5="-"),VLOOKUP($G5,DrawPrep!$A$3:$G$10,2,FALSE),"")</f>
        <v>0</v>
      </c>
      <c r="G5" s="62">
        <f>VLOOKUP($B5,Setup!$G$12:$H$27,2,FALSE)</f>
        <v>1</v>
      </c>
      <c r="H5" s="86">
        <f>IF($G5&gt;0,VLOOKUP($G5,DrawPrep!$A$3:$G$10,6,FALSE),0)</f>
        <v>0</v>
      </c>
      <c r="I5" s="129">
        <f>IF(Setup!$B$24="#",0,IF($G5&gt;0,VLOOKUP($G5,DrawPrep!$A$3:$G$10,3,FALSE),0))</f>
        <v>1</v>
      </c>
      <c r="J5" s="87" t="str">
        <f>IF($I5&gt;0,VLOOKUP($I5,DrawPrep!$C$3:$G$10,2,FALSE),"bye")</f>
        <v>ΚΑΝΕΛΛΑΚΗ ΑΔΑΜΑΝΤΙΑ</v>
      </c>
      <c r="K5" s="87" t="str">
        <f t="shared" ref="K5:K12" si="0">IF(NOT(I5&gt;0),"", IF(ISERROR(FIND("-",J5)), LEFT(J5,FIND(" ",J5)-1), IF(FIND("-",J5)&gt;FIND(" ",J5),LEFT(J5,FIND(" ",J5)-1), LEFT(J5,FIND("-",J5)-1) )))</f>
        <v>ΚΑΝΕΛΛΑΚΗ</v>
      </c>
      <c r="L5" s="88" t="str">
        <f>IF($I5&gt;0,VLOOKUP($I5,DrawPrep!$C$3:$G$10,3,FALSE),"")</f>
        <v>ΦΙΛΑΘΛΗΤΙΚΟΣ Γ.Σ.</v>
      </c>
      <c r="M5" s="63">
        <v>1</v>
      </c>
      <c r="N5" s="90" t="str">
        <f>UPPER(IF($A$2="R",IF(OR(M5=1,M5="a"),I5,IF(OR(M5=2,M5="b"),I6,"")),IF(OR(M5=1,M5="1"),K5,IF(OR(M5=2,M5="b"),K6,""))))</f>
        <v>ΚΑΝΕΛΛΑΚΗ</v>
      </c>
      <c r="O5" s="64"/>
      <c r="P5" s="65"/>
      <c r="R5" s="65"/>
    </row>
    <row r="6" spans="1:19" ht="12" customHeight="1">
      <c r="A6" s="123">
        <v>2</v>
      </c>
      <c r="B6" s="67">
        <f>1-D6+2</f>
        <v>3</v>
      </c>
      <c r="C6" s="68">
        <v>1</v>
      </c>
      <c r="D6" s="69">
        <f>E6</f>
        <v>0</v>
      </c>
      <c r="E6" s="68">
        <f>IF($B$2&gt;=1,1,0)</f>
        <v>0</v>
      </c>
      <c r="F6" s="70">
        <f>IF(NOT($G6="-"),VLOOKUP($G6,DrawPrep!$A$3:$G$10,2,FALSE),"")</f>
        <v>0</v>
      </c>
      <c r="G6" s="70">
        <f>IF($B$2&gt;=1,"-",VLOOKUP($B6,Setup!$G$12:$H$27,2,FALSE))</f>
        <v>8</v>
      </c>
      <c r="H6" s="89">
        <f>IF(NOT($G6="-"),VLOOKUP($G6,DrawPrep!$A$3:$G$10,6,FALSE),0)</f>
        <v>0</v>
      </c>
      <c r="I6" s="89">
        <f>IF(Setup!$B$24="#",0,IF(NOT($G6="-"),VLOOKUP($G6,DrawPrep!$A$3:$G$10,3,FALSE),0))</f>
        <v>8</v>
      </c>
      <c r="J6" s="91" t="str">
        <f>IF($I6&gt;0,VLOOKUP($I6,DrawPrep!$C$3:$G$10,2,FALSE),"bye")</f>
        <v>ΜΠΟΚΑ ΜΙΧΑΕΛΑ</v>
      </c>
      <c r="K6" s="91" t="str">
        <f t="shared" si="0"/>
        <v>ΜΠΟΚΑ</v>
      </c>
      <c r="L6" s="92" t="str">
        <f>IF($I6&gt;0,VLOOKUP($I6,DrawPrep!$C$3:$G$10,3,FALSE),"")</f>
        <v>ΡΗΓΑΣ ΑΟΑΑ</v>
      </c>
      <c r="M6" s="71"/>
      <c r="N6" s="298" t="s">
        <v>103</v>
      </c>
      <c r="O6" s="63">
        <v>2</v>
      </c>
      <c r="P6" s="90" t="str">
        <f>UPPER(IF($A$2="R",IF(OR(O6=1,O6="a"),N5,IF(OR(O6=2,O6="b"),N7,"")),IF(OR(O6=1,O6="a"),N5,IF(OR(O6=2,O6="b"),N7,""))))</f>
        <v>ΚΑΤΣΑΡΗ</v>
      </c>
      <c r="Q6" s="64"/>
      <c r="R6" s="65"/>
    </row>
    <row r="7" spans="1:19" ht="12" customHeight="1">
      <c r="A7" s="124">
        <v>3</v>
      </c>
      <c r="B7" s="67">
        <f>2-D7+2</f>
        <v>4</v>
      </c>
      <c r="C7" s="72"/>
      <c r="D7" s="69">
        <f t="shared" ref="D7:D12" si="1">D6+E7</f>
        <v>0</v>
      </c>
      <c r="E7" s="73">
        <v>0</v>
      </c>
      <c r="F7" s="74">
        <f>IF(NOT($G7="-"),VLOOKUP($G7,DrawPrep!$A$3:$G$10,2,FALSE),"")</f>
        <v>0</v>
      </c>
      <c r="G7" s="74">
        <f>VLOOKUP($B7,Setup!$G$12:$H$27,2,FALSE)</f>
        <v>3</v>
      </c>
      <c r="H7" s="93">
        <f>IF($G7&gt;0,VLOOKUP($G7,DrawPrep!$A$3:$G$10,6,FALSE),0)</f>
        <v>0</v>
      </c>
      <c r="I7" s="93">
        <f>IF(Setup!$B$24="#",0,IF($G7&gt;0,VLOOKUP($G7,DrawPrep!$A$3:$G$10,3,FALSE),0))</f>
        <v>3</v>
      </c>
      <c r="J7" s="94" t="str">
        <f>IF($I7&gt;0,VLOOKUP($I7,DrawPrep!$C$3:$G$10,2,FALSE),"bye")</f>
        <v>ΚΑΤΣΑΡΗ ΑΝΤΩΝΙΑ</v>
      </c>
      <c r="K7" s="94" t="str">
        <f t="shared" si="0"/>
        <v>ΚΑΤΣΑΡΗ</v>
      </c>
      <c r="L7" s="95" t="str">
        <f>IF($I7&gt;0,VLOOKUP($I7,DrawPrep!$C$3:$G$10,3,FALSE),"")</f>
        <v>ΦΙΛΑΘΛΗΤΙΚΟΣ Γ.Σ.</v>
      </c>
      <c r="M7" s="63">
        <v>1</v>
      </c>
      <c r="N7" s="90" t="str">
        <f>UPPER(IF($A$2="R",IF(OR(M7=1,M7="a"),I7,IF(OR(M7=2,M7="b"),I8,"")),IF(OR(M7=1,M7="a"),K7,IF(OR(M7=2,M7="b"),K8,""))))</f>
        <v>ΚΑΤΣΑΡΗ</v>
      </c>
      <c r="O7" s="71"/>
      <c r="P7" s="298" t="s">
        <v>106</v>
      </c>
      <c r="Q7" s="64"/>
      <c r="R7" s="65"/>
    </row>
    <row r="8" spans="1:19" ht="12" customHeight="1">
      <c r="A8" s="125">
        <v>4</v>
      </c>
      <c r="B8" s="67">
        <f>3-D8+2</f>
        <v>5</v>
      </c>
      <c r="C8" s="68">
        <v>3</v>
      </c>
      <c r="D8" s="69">
        <f t="shared" si="1"/>
        <v>0</v>
      </c>
      <c r="E8" s="68">
        <f>IF($B$2&gt;=3,1,0)</f>
        <v>0</v>
      </c>
      <c r="F8" s="75">
        <f>IF(NOT($G8="-"),VLOOKUP($G8,DrawPrep!$A$3:$G$10,2,FALSE),"")</f>
        <v>0</v>
      </c>
      <c r="G8" s="75">
        <f>IF($B$2&gt;=3,"-",VLOOKUP($B8,Setup!$G$12:$H$27,2,FALSE))</f>
        <v>6</v>
      </c>
      <c r="H8" s="96">
        <f>IF(NOT($G8="-"),VLOOKUP($G8,DrawPrep!$A$3:$G$10,6,FALSE),0)</f>
        <v>0</v>
      </c>
      <c r="I8" s="96">
        <f>IF(Setup!$B$24="#",0,IF(NOT($G8="-"),VLOOKUP($G8,DrawPrep!$A$3:$G$10,3,FALSE),0))</f>
        <v>6</v>
      </c>
      <c r="J8" s="97" t="str">
        <f>IF($I8&gt;0,VLOOKUP($I8,DrawPrep!$C$3:$G$10,2,FALSE),"bye")</f>
        <v>ΜΕΞΗ ΙΣΜΗΝΗ</v>
      </c>
      <c r="K8" s="97" t="str">
        <f t="shared" si="0"/>
        <v>ΜΕΞΗ</v>
      </c>
      <c r="L8" s="98" t="str">
        <f>IF($I8&gt;0,VLOOKUP($I8,DrawPrep!$C$3:$G$10,3,FALSE),"")</f>
        <v>Ermionida's Tennis</v>
      </c>
      <c r="M8" s="71"/>
      <c r="N8" s="299" t="s">
        <v>104</v>
      </c>
      <c r="O8" s="64"/>
      <c r="P8" s="76"/>
      <c r="Q8" s="77">
        <v>1</v>
      </c>
      <c r="R8" s="135" t="str">
        <f>UPPER(IF($A$2="R",IF(OR(Q8=1,Q8="a"),P6,IF(OR(Q8=2,Q8="b"),P10,"")),IF(OR(Q8=1,Q8="a"),P6,IF(OR(Q8=2,Q8="b"),P10,""))))</f>
        <v>ΚΑΤΣΑΡΗ</v>
      </c>
    </row>
    <row r="9" spans="1:19" ht="12" customHeight="1">
      <c r="A9" s="122">
        <v>5</v>
      </c>
      <c r="B9" s="67">
        <f>4-D9+2</f>
        <v>6</v>
      </c>
      <c r="C9" s="72"/>
      <c r="D9" s="69">
        <f t="shared" si="1"/>
        <v>0</v>
      </c>
      <c r="E9" s="73">
        <v>0</v>
      </c>
      <c r="F9" s="61">
        <f>IF(NOT($G9="-"),VLOOKUP($G9,DrawPrep!$A$3:$G$10,2,FALSE),"")</f>
        <v>0</v>
      </c>
      <c r="G9" s="61">
        <v>4</v>
      </c>
      <c r="H9" s="99">
        <f>IF($G9&gt;0,VLOOKUP($G9,DrawPrep!$A$3:$G$10,6,FALSE),0)</f>
        <v>0</v>
      </c>
      <c r="I9" s="99">
        <f>IF(Setup!$B$24="#",0,IF($G9&gt;0,VLOOKUP($G9,DrawPrep!$A$3:$G$10,3,FALSE),0))</f>
        <v>4</v>
      </c>
      <c r="J9" s="100" t="str">
        <f>IF($I9&gt;0,VLOOKUP($I9,DrawPrep!$C$3:$G$10,2,FALSE),"bye")</f>
        <v>ΣΩΤΗΡΟΠΟΥΛΟΥ ΜΑΓΙΑ</v>
      </c>
      <c r="K9" s="100" t="str">
        <f t="shared" si="0"/>
        <v>ΣΩΤΗΡΟΠΟΥΛΟΥ</v>
      </c>
      <c r="L9" s="101" t="str">
        <f>IF($I9&gt;0,VLOOKUP($I9,DrawPrep!$C$3:$G$10,3,FALSE),"")</f>
        <v>ΑΕΚ ΤΡΙΠΟΛΗΣ</v>
      </c>
      <c r="M9" s="78">
        <v>1</v>
      </c>
      <c r="N9" s="90" t="str">
        <f>UPPER(IF($A$2="R",IF(OR(M9=1,M9="a"),I9,IF(OR(M9=2,M9="b"),I10,"")),IF(OR(M9=1,M9="a"),K9,IF(OR(M9=2,M9="b"),K10,""))))</f>
        <v>ΣΩΤΗΡΟΠΟΥΛΟΥ</v>
      </c>
      <c r="O9" s="64"/>
      <c r="P9" s="76"/>
      <c r="Q9" s="64"/>
      <c r="R9" s="301" t="s">
        <v>108</v>
      </c>
    </row>
    <row r="10" spans="1:19" ht="12" customHeight="1">
      <c r="A10" s="123">
        <v>6</v>
      </c>
      <c r="B10" s="67">
        <f>5-D10+2</f>
        <v>7</v>
      </c>
      <c r="C10" s="68">
        <v>4</v>
      </c>
      <c r="D10" s="69">
        <f t="shared" si="1"/>
        <v>0</v>
      </c>
      <c r="E10" s="68">
        <f>IF($B$2&gt;=4,1,0)</f>
        <v>0</v>
      </c>
      <c r="F10" s="70">
        <f>IF(NOT($G10="-"),VLOOKUP($G10,DrawPrep!$A$3:$G$10,2,FALSE),"")</f>
        <v>0</v>
      </c>
      <c r="G10" s="70">
        <f>IF($B$2&gt;=4,"-",VLOOKUP($B10,Setup!$G$12:$H$27,2,FALSE))</f>
        <v>7</v>
      </c>
      <c r="H10" s="89">
        <f>IF(NOT($G10="-"),VLOOKUP($G10,DrawPrep!$A$3:$G$10,6,FALSE),0)</f>
        <v>0</v>
      </c>
      <c r="I10" s="89">
        <f>IF(Setup!$B$24="#",0,IF(NOT($G10="-"),VLOOKUP($G10,DrawPrep!$A$3:$G$10,3,FALSE),0))</f>
        <v>7</v>
      </c>
      <c r="J10" s="91" t="str">
        <f>IF($I10&gt;0,VLOOKUP($I10,DrawPrep!$C$3:$G$10,2,FALSE),"bye")</f>
        <v>ΟΙΚΟΝΟΜΟΥ ΕΛΙΝΑ</v>
      </c>
      <c r="K10" s="91" t="str">
        <f t="shared" si="0"/>
        <v>ΟΙΚΟΝΟΜΟΥ</v>
      </c>
      <c r="L10" s="92" t="str">
        <f>IF($I10&gt;0,VLOOKUP($I10,DrawPrep!$C$3:$G$10,3,FALSE),"")</f>
        <v>ΤΡΟΙΖΙΝΙΑΚΟΣ</v>
      </c>
      <c r="M10" s="71"/>
      <c r="N10" s="298" t="s">
        <v>105</v>
      </c>
      <c r="O10" s="63">
        <v>2</v>
      </c>
      <c r="P10" s="90" t="str">
        <f>UPPER(IF($A$2="R",IF(OR(O10=1,O10="a"),N9,IF(OR(O10=2,O10="b"),N11,"")),IF(OR(O10=1,O10="a"),N9,IF(OR(O10=2,O10="b"),N11,""))))</f>
        <v>ΚΩΣΤΑΚΗ</v>
      </c>
      <c r="Q10" s="79"/>
      <c r="R10" s="65"/>
    </row>
    <row r="11" spans="1:19" ht="12" customHeight="1">
      <c r="A11" s="124">
        <v>7</v>
      </c>
      <c r="B11" s="67">
        <f>6-D11+2</f>
        <v>8</v>
      </c>
      <c r="C11" s="68">
        <v>2</v>
      </c>
      <c r="D11" s="69">
        <f t="shared" si="1"/>
        <v>0</v>
      </c>
      <c r="E11" s="68">
        <f>IF($B$2&gt;=2,1,0)</f>
        <v>0</v>
      </c>
      <c r="F11" s="74">
        <f>IF(NOT($G11="-"),VLOOKUP($G11,DrawPrep!$A$3:$G$10,2,FALSE),"")</f>
        <v>0</v>
      </c>
      <c r="G11" s="74">
        <v>5</v>
      </c>
      <c r="H11" s="93">
        <f>IF(NOT($G11="-"),VLOOKUP($G11,DrawPrep!$A$3:$G$10,6,FALSE),0)</f>
        <v>0</v>
      </c>
      <c r="I11" s="93">
        <f>IF(Setup!$B$24="#",0,IF(NOT($G11="-"),VLOOKUP($G11,DrawPrep!$A$3:$G$10,3,FALSE),0))</f>
        <v>5</v>
      </c>
      <c r="J11" s="94" t="str">
        <f>IF($I11&gt;0,VLOOKUP($I11,DrawPrep!$C$3:$G$10,2,FALSE),"bye")</f>
        <v>ΨΥΛΛΑ ΜΑΓΙΑ</v>
      </c>
      <c r="K11" s="94" t="str">
        <f t="shared" si="0"/>
        <v>ΨΥΛΛΑ</v>
      </c>
      <c r="L11" s="95" t="str">
        <f>IF($I11&gt;0,VLOOKUP($I11,DrawPrep!$C$3:$G$10,3,FALSE),"")</f>
        <v>ΑΟΑ ΣΙΚΥΩΝΟΣ ΚΙΑΤΟΥ</v>
      </c>
      <c r="M11" s="63">
        <v>2</v>
      </c>
      <c r="N11" s="90" t="str">
        <f>UPPER(IF($A$2="R",IF(OR(M11=1,M11="a"),I11,IF(OR(M11=2,M11="b"),I12,"")),IF(OR(M11=1,M11="a"),K11,IF(OR(M11=2,M11="b"),K12,""))))</f>
        <v>ΚΩΣΤΑΚΗ</v>
      </c>
      <c r="O11" s="71"/>
      <c r="P11" s="300" t="s">
        <v>107</v>
      </c>
      <c r="Q11" s="64"/>
      <c r="R11" s="65"/>
    </row>
    <row r="12" spans="1:19" ht="12" customHeight="1">
      <c r="A12" s="125">
        <v>8</v>
      </c>
      <c r="B12" s="57">
        <v>2</v>
      </c>
      <c r="C12" s="72"/>
      <c r="D12" s="69">
        <f t="shared" si="1"/>
        <v>0</v>
      </c>
      <c r="E12" s="80">
        <v>0</v>
      </c>
      <c r="F12" s="75">
        <f>IF(NOT($G12="-"),VLOOKUP($G12,DrawPrep!$A$3:$G$10,2,FALSE),"")</f>
        <v>0</v>
      </c>
      <c r="G12" s="81">
        <f>VLOOKUP($B12,Setup!$G$12:$H$27,2,FALSE)</f>
        <v>2</v>
      </c>
      <c r="H12" s="96">
        <f>IF($G12&gt;0,VLOOKUP($G12,DrawPrep!$A$3:$G$10,6,FALSE),0)</f>
        <v>0</v>
      </c>
      <c r="I12" s="130">
        <f>IF(Setup!$B$24="#",0,IF($G12&gt;0,VLOOKUP($G12,DrawPrep!$A$3:$G$10,3,FALSE),0))</f>
        <v>2</v>
      </c>
      <c r="J12" s="102" t="str">
        <f>IF($I12&gt;0,VLOOKUP($I12,DrawPrep!$C$3:$G$10,2,FALSE),"bye")</f>
        <v>ΚΩΣΤΑΚΗ ΚΑΤΕΡΙΝΑ</v>
      </c>
      <c r="K12" s="102" t="str">
        <f t="shared" si="0"/>
        <v>ΚΩΣΤΑΚΗ</v>
      </c>
      <c r="L12" s="103" t="str">
        <f>IF($I12&gt;0,VLOOKUP($I12,DrawPrep!$C$3:$G$10,3,FALSE),"")</f>
        <v>ΡΗΓΑΣ ΑΟΑΑ</v>
      </c>
      <c r="M12" s="71"/>
      <c r="N12" s="300" t="s">
        <v>103</v>
      </c>
      <c r="P12" s="65"/>
      <c r="R12" s="65"/>
    </row>
    <row r="13" spans="1:19">
      <c r="G13" s="113"/>
      <c r="H13" s="113"/>
      <c r="N13" s="114" t="s">
        <v>18</v>
      </c>
      <c r="P13" s="114" t="s">
        <v>18</v>
      </c>
      <c r="R13" s="114"/>
    </row>
    <row r="14" spans="1:19">
      <c r="G14" s="56"/>
      <c r="H14" s="56"/>
      <c r="P14" s="43"/>
    </row>
    <row r="16" spans="1:19" s="83" customFormat="1" ht="9.75">
      <c r="C16" s="115"/>
      <c r="D16" s="116"/>
      <c r="E16" s="116"/>
      <c r="G16" s="115"/>
      <c r="H16" s="115"/>
      <c r="I16" s="115"/>
      <c r="J16" s="117" t="s">
        <v>34</v>
      </c>
      <c r="M16" s="118"/>
      <c r="O16" s="119"/>
      <c r="P16" s="120" t="s">
        <v>35</v>
      </c>
      <c r="Q16" s="117"/>
      <c r="R16" s="117"/>
    </row>
    <row r="17" spans="2:19" s="83" customFormat="1" ht="9.75">
      <c r="C17" s="115"/>
      <c r="D17" s="116"/>
      <c r="E17" s="116"/>
      <c r="G17" s="115"/>
      <c r="H17" s="115"/>
      <c r="I17" s="115"/>
      <c r="J17" s="121" t="str">
        <f>"1. " &amp; IF(Setup!B19&gt;0,LEFT(DrawPrep!D3,FIND(" ",DrawPrep!D3)+1),"")</f>
        <v>1. ΚΑΝΕΛΛΑΚΗ Α</v>
      </c>
      <c r="M17" s="118"/>
      <c r="O17" s="119"/>
      <c r="P17" s="271" t="str">
        <f>Setup!B10</f>
        <v>ΚΟΚΚΟΣΗ ΧΑΡΑ</v>
      </c>
      <c r="Q17" s="271"/>
      <c r="R17" s="271"/>
      <c r="S17" s="84"/>
    </row>
    <row r="18" spans="2:19" s="83" customFormat="1" ht="9.75">
      <c r="C18" s="115"/>
      <c r="D18" s="116"/>
      <c r="E18" s="116"/>
      <c r="G18" s="115"/>
      <c r="H18" s="115"/>
      <c r="I18" s="115"/>
      <c r="J18" s="121" t="str">
        <f>"2. " &amp; IF(Setup!B19&gt;1,LEFT(DrawPrep!D4,FIND(" ",DrawPrep!D4)+1),"")</f>
        <v>2. ΚΩΣΤΑΚΗ Κ</v>
      </c>
      <c r="M18" s="118"/>
      <c r="O18" s="119"/>
      <c r="Q18" s="119"/>
      <c r="R18" s="84"/>
      <c r="S18" s="84"/>
    </row>
    <row r="24" spans="2:19">
      <c r="B24" s="44" t="s">
        <v>48</v>
      </c>
    </row>
    <row r="40" spans="10:10">
      <c r="J40" s="131" t="s">
        <v>45</v>
      </c>
    </row>
    <row r="41" spans="10:10">
      <c r="J41" s="132" t="str">
        <f>IF(Setup!$B$19&gt;0,LEFT(DrawPrep!D3,FIND(" ",DrawPrep!D3)-1))</f>
        <v>ΚΑΝΕΛΛΑΚΗ</v>
      </c>
    </row>
    <row r="42" spans="10:10">
      <c r="J42" s="132" t="str">
        <f>IF(Setup!$B$19&gt;1,LEFT(DrawPrep!D4,FIND(" ",DrawPrep!D4)-1))</f>
        <v>ΚΩΣΤΑΚΗ</v>
      </c>
    </row>
    <row r="43" spans="10:10" ht="12">
      <c r="J43" s="85"/>
    </row>
    <row r="44" spans="10:10" ht="12">
      <c r="J44" s="85"/>
    </row>
    <row r="45" spans="10:10" ht="12">
      <c r="J45" s="85"/>
    </row>
    <row r="46" spans="10:10" ht="12">
      <c r="J46" s="85"/>
    </row>
    <row r="47" spans="10:10" ht="12">
      <c r="J47" s="85"/>
    </row>
    <row r="48" spans="10:10" ht="12">
      <c r="J48" s="85"/>
    </row>
  </sheetData>
  <sheetProtection password="CF33" sheet="1" objects="1" scenarios="1" formatCells="0" formatColumns="0" formatRows="0"/>
  <protectedRanges>
    <protectedRange sqref="G5:G12" name="seeds"/>
    <protectedRange sqref="N6 N8 N10 N12 P11 P7 R9" name="scores"/>
    <protectedRange sqref="M5 M7 M9 M11 O10 O6 Q8" name="winners"/>
  </protectedRanges>
  <mergeCells count="3">
    <mergeCell ref="P17:R17"/>
    <mergeCell ref="A1:P1"/>
    <mergeCell ref="J3:L3"/>
  </mergeCells>
  <phoneticPr fontId="1" type="noConversion"/>
  <conditionalFormatting sqref="N5 N7 N9 N11 P10 P6 R8">
    <cfRule type="expression" dxfId="0" priority="14">
      <formula>MATCH(N5,$J$41:$J$44,0)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H30"/>
  <sheetViews>
    <sheetView workbookViewId="0">
      <selection sqref="A1:F1"/>
    </sheetView>
  </sheetViews>
  <sheetFormatPr defaultColWidth="8.85546875" defaultRowHeight="12"/>
  <cols>
    <col min="1" max="1" width="7.28515625" style="5" bestFit="1" customWidth="1"/>
    <col min="2" max="2" width="5" style="1" bestFit="1" customWidth="1"/>
    <col min="3" max="3" width="38.7109375" style="1" customWidth="1"/>
    <col min="4" max="4" width="1.28515625" style="10" bestFit="1" customWidth="1"/>
    <col min="5" max="5" width="38.7109375" style="1" customWidth="1"/>
    <col min="6" max="16384" width="8.85546875" style="1"/>
  </cols>
  <sheetData>
    <row r="1" spans="1:8" s="2" customFormat="1" ht="18">
      <c r="A1" s="276" t="str">
        <f>Setup!B3 &amp; ", " &amp; Setup!B4 &amp; ", " &amp; Setup!B6  &amp; " (" &amp; Setup!B7 &amp; ")"</f>
        <v>ΣΤ' ΕΝΩΣΗ, Open Προπαιδικό U10, ΡΗΓΑΣ ΑΟΑΑ (GIRLS 10)</v>
      </c>
      <c r="B1" s="276"/>
      <c r="C1" s="276"/>
      <c r="D1" s="276"/>
      <c r="E1" s="276"/>
      <c r="F1" s="276"/>
      <c r="H1" s="26" t="s">
        <v>25</v>
      </c>
    </row>
    <row r="2" spans="1:8" ht="13.15" customHeight="1">
      <c r="A2" s="277" t="str">
        <f>Setup!$B$10</f>
        <v>ΚΟΚΚΟΣΗ ΧΑΡΑ</v>
      </c>
      <c r="B2" s="277"/>
      <c r="C2" s="277"/>
      <c r="D2" s="277"/>
      <c r="E2" s="277"/>
      <c r="F2" s="277"/>
    </row>
    <row r="3" spans="1:8" s="2" customFormat="1" ht="25.15" customHeight="1">
      <c r="A3" s="278" t="s">
        <v>23</v>
      </c>
      <c r="B3" s="279"/>
      <c r="C3" s="279"/>
      <c r="D3" s="18"/>
      <c r="E3" s="19" t="s">
        <v>79</v>
      </c>
      <c r="F3" s="274" t="s">
        <v>77</v>
      </c>
    </row>
    <row r="4" spans="1:8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5"/>
    </row>
    <row r="5" spans="1:8">
      <c r="A5" s="27" t="s">
        <v>14</v>
      </c>
      <c r="B5" s="7" t="str">
        <f>Setup!$B$7</f>
        <v>GIRLS 10</v>
      </c>
      <c r="C5" s="3" t="str">
        <f>IF(OR(Draw!J5="bye",Draw!J5="LWD"), "",CONCATENATE(LEFT(Draw!J5,FIND(" ",Draw!J5)+1)," (",Draw!L5,")"))</f>
        <v>ΚΑΝΕΛΛΑΚΗ Α (ΦΙΛΑΘΛΗΤΙΚΟΣ Γ.Σ.)</v>
      </c>
      <c r="D5" s="15" t="str">
        <f>IF(OR(C5="",E5="")," ","-")</f>
        <v>-</v>
      </c>
      <c r="E5" s="3" t="str">
        <f>IF(OR(Draw!J6="bye",Draw!J6="LWD"), "",CONCATENATE(LEFT(Draw!J6,FIND(" ",Draw!J6)+1)," (",Draw!L6,")"))</f>
        <v>ΜΠΟΚΑ Μ (ΡΗΓΑΣ ΑΟΑΑ)</v>
      </c>
    </row>
    <row r="6" spans="1:8">
      <c r="A6" s="27"/>
      <c r="B6" s="7" t="str">
        <f>Setup!$B$7</f>
        <v>GIRLS 10</v>
      </c>
      <c r="C6" s="3" t="str">
        <f>IF(OR(Draw!J7="bye",Draw!J7="LWD"), "",CONCATENATE(LEFT(Draw!J7,FIND(" ",Draw!J7)+1)," (",Draw!L7,")"))</f>
        <v>ΚΑΤΣΑΡΗ Α (ΦΙΛΑΘΛΗΤΙΚΟΣ Γ.Σ.)</v>
      </c>
      <c r="D6" s="15" t="str">
        <f>IF(OR(C6="",E6="")," ","-")</f>
        <v>-</v>
      </c>
      <c r="E6" s="3" t="str">
        <f>IF(OR(Draw!J8="bye",Draw!J8="LWD"), "",CONCATENATE(LEFT(Draw!J8,FIND(" ",Draw!J8)+1)," (",Draw!L8,")"))</f>
        <v>ΜΕΞΗ Ι (Ermionida's Tennis)</v>
      </c>
    </row>
    <row r="7" spans="1:8">
      <c r="A7" s="27"/>
      <c r="B7" s="7" t="str">
        <f>Setup!$B$7</f>
        <v>GIRLS 10</v>
      </c>
      <c r="C7" s="3" t="str">
        <f>IF(OR(Draw!J9="bye",Draw!J9="LWD"), "",CONCATENATE(LEFT(Draw!J9,FIND(" ",Draw!J9)+1)," (",Draw!L9,")"))</f>
        <v>ΣΩΤΗΡΟΠΟΥΛΟΥ Μ (ΑΕΚ ΤΡΙΠΟΛΗΣ)</v>
      </c>
      <c r="D7" s="15" t="str">
        <f>IF(OR(C7="",E7="")," ","-")</f>
        <v>-</v>
      </c>
      <c r="E7" s="3" t="str">
        <f>IF(OR(Draw!J10="bye",Draw!J10="LWD"), "",CONCATENATE(LEFT(Draw!J10,FIND(" ",Draw!J10)+1)," (",Draw!L10,")"))</f>
        <v>ΟΙΚΟΝΟΜΟΥ Ε (ΤΡΟΙΖΙΝΙΑΚΟΣ)</v>
      </c>
    </row>
    <row r="8" spans="1:8">
      <c r="A8" s="27"/>
      <c r="B8" s="7" t="str">
        <f>Setup!$B$7</f>
        <v>GIRLS 10</v>
      </c>
      <c r="C8" s="3" t="str">
        <f>IF(OR(Draw!J11="bye",Draw!J11="LWD"), "",CONCATENATE(LEFT(Draw!J11,FIND(" ",Draw!J11)+1)," (",Draw!L11,")"))</f>
        <v>ΨΥΛΛΑ Μ (ΑΟΑ ΣΙΚΥΩΝΟΣ ΚΙΑΤΟΥ)</v>
      </c>
      <c r="D8" s="15" t="str">
        <f>IF(OR(C8="",E8="")," ","-")</f>
        <v>-</v>
      </c>
      <c r="E8" s="3" t="str">
        <f>IF(OR(Draw!J12="bye",Draw!J12="LWD"), "",CONCATENATE(LEFT(Draw!J12,FIND(" ",Draw!J12)+1)," (",Draw!L12,")"))</f>
        <v>ΚΩΣΤΑΚΗ Κ (ΡΗΓΑΣ ΑΟΑΑ)</v>
      </c>
    </row>
    <row r="9" spans="1:8">
      <c r="A9" s="11"/>
      <c r="B9" s="7"/>
      <c r="C9" s="3"/>
      <c r="D9" s="15"/>
      <c r="E9" s="3"/>
    </row>
    <row r="10" spans="1:8">
      <c r="A10" s="27"/>
      <c r="B10" s="7"/>
      <c r="C10" s="3"/>
      <c r="D10" s="15"/>
      <c r="E10" s="3"/>
    </row>
    <row r="11" spans="1:8">
      <c r="A11" s="11"/>
      <c r="B11" s="7"/>
      <c r="C11" s="3"/>
      <c r="D11" s="15"/>
      <c r="E11" s="3"/>
    </row>
    <row r="12" spans="1:8">
      <c r="A12" s="11"/>
      <c r="B12" s="7"/>
      <c r="C12" s="3"/>
      <c r="D12" s="15"/>
      <c r="E12" s="3"/>
    </row>
    <row r="13" spans="1:8">
      <c r="A13" s="11"/>
    </row>
    <row r="15" spans="1:8">
      <c r="A15" s="22"/>
      <c r="B15" s="9"/>
      <c r="C15" s="9"/>
      <c r="D15" s="8"/>
      <c r="E15" s="9"/>
      <c r="F15" s="9"/>
      <c r="G15" s="9"/>
      <c r="H15" s="9"/>
    </row>
    <row r="16" spans="1:8">
      <c r="A16" s="4"/>
      <c r="B16" s="9"/>
      <c r="C16" s="9"/>
      <c r="D16" s="8"/>
      <c r="E16" s="9"/>
      <c r="F16" s="9"/>
      <c r="G16" s="9"/>
      <c r="H16" s="9"/>
    </row>
    <row r="17" spans="1:6">
      <c r="B17" s="7"/>
      <c r="C17" s="3"/>
      <c r="D17" s="15"/>
      <c r="E17" s="3"/>
    </row>
    <row r="18" spans="1:6" ht="25.15" customHeight="1">
      <c r="A18" s="278" t="s">
        <v>23</v>
      </c>
      <c r="B18" s="279"/>
      <c r="C18" s="279"/>
      <c r="D18" s="20"/>
      <c r="E18" s="21" t="s">
        <v>24</v>
      </c>
      <c r="F18" s="274" t="s">
        <v>77</v>
      </c>
    </row>
    <row r="19" spans="1:6" ht="12" customHeight="1">
      <c r="A19" s="6" t="s">
        <v>12</v>
      </c>
      <c r="B19" s="6" t="s">
        <v>13</v>
      </c>
      <c r="C19" s="13" t="s">
        <v>22</v>
      </c>
      <c r="D19" s="14"/>
      <c r="E19" s="12" t="s">
        <v>22</v>
      </c>
      <c r="F19" s="275"/>
    </row>
    <row r="20" spans="1:6">
      <c r="A20" s="27" t="s">
        <v>14</v>
      </c>
      <c r="B20" s="7" t="str">
        <f>Setup!$B$7</f>
        <v>GIRLS 10</v>
      </c>
      <c r="C20" s="3" t="str">
        <f>IF(Draw!M5="", "", IF(Draw!M5=1, CONCATENATE(LEFT(Draw!J5,FIND(" ",Draw!J5)+1)," (",Draw!L5,")"),CONCATENATE(LEFT(Draw!J6,FIND(" ",Draw!J6)+1)," (",Draw!L6,")")))</f>
        <v>ΚΑΝΕΛΛΑΚΗ Α (ΦΙΛΑΘΛΗΤΙΚΟΣ Γ.Σ.)</v>
      </c>
      <c r="D20" s="15" t="str">
        <f>IF(OR(C20="",E20="")," ","-")</f>
        <v>-</v>
      </c>
      <c r="E20" s="3" t="str">
        <f>IF(Draw!M7="", "", IF(Draw!M7=1, CONCATENATE(LEFT(Draw!J7,FIND(" ",Draw!J7)+1)," (",Draw!L7,")"),CONCATENATE(LEFT(Draw!J8,FIND(" ",Draw!J8)+1)," (",Draw!L8,")")))</f>
        <v>ΚΑΤΣΑΡΗ Α (ΦΙΛΑΘΛΗΤΙΚΟΣ Γ.Σ.)</v>
      </c>
    </row>
    <row r="21" spans="1:6">
      <c r="A21" s="27"/>
      <c r="B21" s="7" t="str">
        <f>Setup!$B$7</f>
        <v>GIRLS 10</v>
      </c>
      <c r="C21" s="3" t="str">
        <f>IF(Draw!M9="", "", IF(Draw!M9=1, CONCATENATE(LEFT(Draw!J9,FIND(" ",Draw!J9)+1)," (",Draw!L9,")"),CONCATENATE(LEFT(Draw!J10,FIND(" ",Draw!J10)+1)," (",Draw!L10,")")))</f>
        <v>ΣΩΤΗΡΟΠΟΥΛΟΥ Μ (ΑΕΚ ΤΡΙΠΟΛΗΣ)</v>
      </c>
      <c r="D21" s="15" t="str">
        <f>IF(OR(C21="",E21="")," ","-")</f>
        <v>-</v>
      </c>
      <c r="E21" s="3" t="str">
        <f>IF(Draw!M11="", "", IF(Draw!M11=1, CONCATENATE(LEFT(Draw!J11,FIND(" ",Draw!J11)+1)," (",Draw!L11,")"),CONCATENATE(LEFT(Draw!J12,FIND(" ",Draw!J12)+1)," (",Draw!L12,")")))</f>
        <v>ΚΩΣΤΑΚΗ Κ (ΡΗΓΑΣ ΑΟΑΑ)</v>
      </c>
    </row>
    <row r="22" spans="1:6">
      <c r="A22" s="27"/>
      <c r="B22" s="7"/>
      <c r="C22" s="3"/>
      <c r="D22" s="15"/>
      <c r="E22" s="3"/>
    </row>
    <row r="23" spans="1:6">
      <c r="A23" s="27"/>
      <c r="B23" s="7"/>
      <c r="C23" s="3"/>
      <c r="D23" s="15"/>
      <c r="E23" s="3"/>
    </row>
    <row r="24" spans="1:6">
      <c r="A24" s="27"/>
      <c r="B24" s="7"/>
      <c r="C24" s="3"/>
      <c r="D24" s="15"/>
      <c r="E24" s="3"/>
    </row>
    <row r="25" spans="1:6">
      <c r="A25" s="11"/>
      <c r="B25" s="7"/>
      <c r="C25" s="3"/>
      <c r="D25" s="15"/>
      <c r="E25" s="3"/>
    </row>
    <row r="26" spans="1:6">
      <c r="A26" s="11"/>
      <c r="B26" s="7"/>
      <c r="C26" s="3"/>
      <c r="D26" s="15"/>
      <c r="E26" s="3"/>
    </row>
    <row r="27" spans="1:6">
      <c r="A27" s="11"/>
      <c r="B27" s="7"/>
      <c r="C27" s="3"/>
      <c r="D27" s="15"/>
      <c r="E27" s="3"/>
    </row>
    <row r="28" spans="1:6">
      <c r="A28" s="11"/>
    </row>
    <row r="30" spans="1:6" ht="15.75">
      <c r="A30" s="23" t="s">
        <v>25</v>
      </c>
      <c r="B30" s="24"/>
      <c r="C30" s="24"/>
      <c r="D30" s="24"/>
      <c r="E30" s="24"/>
    </row>
  </sheetData>
  <sheetProtection password="CF33" sheet="1" objects="1" scenarios="1"/>
  <mergeCells count="6">
    <mergeCell ref="F3:F4"/>
    <mergeCell ref="F18:F19"/>
    <mergeCell ref="A1:F1"/>
    <mergeCell ref="A2:F2"/>
    <mergeCell ref="A3:C3"/>
    <mergeCell ref="A18:C18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30"/>
  <sheetViews>
    <sheetView zoomScaleNormal="100" workbookViewId="0">
      <selection sqref="A1:F1"/>
    </sheetView>
  </sheetViews>
  <sheetFormatPr defaultColWidth="8.85546875" defaultRowHeight="12"/>
  <cols>
    <col min="1" max="1" width="7.28515625" style="5" customWidth="1"/>
    <col min="2" max="2" width="6.7109375" style="1" customWidth="1"/>
    <col min="3" max="3" width="38.7109375" style="1" customWidth="1"/>
    <col min="4" max="4" width="1.28515625" style="10" bestFit="1" customWidth="1"/>
    <col min="5" max="5" width="38.7109375" style="1" customWidth="1"/>
    <col min="6" max="6" width="4.5703125" style="1" customWidth="1"/>
    <col min="7" max="16384" width="8.85546875" style="1"/>
  </cols>
  <sheetData>
    <row r="1" spans="1:6" s="2" customFormat="1" ht="18">
      <c r="A1" s="276" t="s">
        <v>80</v>
      </c>
      <c r="B1" s="276"/>
      <c r="C1" s="276"/>
      <c r="D1" s="276"/>
      <c r="E1" s="276"/>
      <c r="F1" s="276"/>
    </row>
    <row r="2" spans="1:6" ht="13.15" customHeight="1">
      <c r="A2" s="277">
        <v>0</v>
      </c>
      <c r="B2" s="277"/>
      <c r="C2" s="277"/>
      <c r="D2" s="277"/>
      <c r="E2" s="277"/>
      <c r="F2" s="277"/>
    </row>
    <row r="3" spans="1:6" s="2" customFormat="1" ht="25.15" customHeight="1">
      <c r="A3" s="278" t="s">
        <v>23</v>
      </c>
      <c r="B3" s="279"/>
      <c r="C3" s="279"/>
      <c r="D3" s="18"/>
      <c r="E3" s="19" t="s">
        <v>79</v>
      </c>
      <c r="F3" s="274" t="s">
        <v>77</v>
      </c>
    </row>
    <row r="4" spans="1:6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5"/>
    </row>
    <row r="5" spans="1:6">
      <c r="A5" s="27" t="s">
        <v>14</v>
      </c>
      <c r="B5" s="7"/>
      <c r="C5" s="3"/>
      <c r="D5" s="15"/>
      <c r="E5" s="3"/>
    </row>
    <row r="6" spans="1:6">
      <c r="A6" s="27"/>
      <c r="B6" s="7"/>
      <c r="C6" s="3"/>
      <c r="D6" s="15"/>
      <c r="E6" s="3"/>
    </row>
    <row r="7" spans="1:6">
      <c r="A7" s="27"/>
      <c r="B7" s="7"/>
      <c r="C7" s="3"/>
      <c r="D7" s="15"/>
      <c r="E7" s="3"/>
    </row>
    <row r="8" spans="1:6">
      <c r="A8" s="27"/>
      <c r="B8" s="7"/>
      <c r="C8" s="3"/>
      <c r="D8" s="15"/>
      <c r="E8" s="3"/>
    </row>
    <row r="9" spans="1:6">
      <c r="A9" s="11"/>
      <c r="B9" s="7"/>
      <c r="C9" s="3"/>
      <c r="D9" s="15"/>
      <c r="E9" s="3"/>
    </row>
    <row r="10" spans="1:6">
      <c r="A10" s="27"/>
      <c r="B10" s="7"/>
      <c r="C10" s="3"/>
      <c r="D10" s="15"/>
      <c r="E10" s="3"/>
    </row>
    <row r="11" spans="1:6">
      <c r="A11" s="27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  <row r="13" spans="1:6">
      <c r="A13" s="11"/>
      <c r="B13" s="7"/>
      <c r="C13" s="3"/>
      <c r="D13" s="15"/>
      <c r="E13" s="3"/>
    </row>
    <row r="14" spans="1:6">
      <c r="A14" s="27"/>
      <c r="B14" s="7"/>
      <c r="C14" s="3"/>
      <c r="D14" s="15"/>
      <c r="E14" s="3"/>
    </row>
    <row r="15" spans="1:6">
      <c r="A15" s="11"/>
      <c r="B15" s="7"/>
      <c r="C15" s="3"/>
      <c r="D15" s="15"/>
      <c r="E15" s="3"/>
    </row>
    <row r="16" spans="1:6">
      <c r="A16" s="11"/>
      <c r="B16" s="7"/>
      <c r="C16" s="3"/>
      <c r="D16" s="15"/>
      <c r="E16" s="3"/>
    </row>
    <row r="17" spans="1:6">
      <c r="B17" s="7"/>
      <c r="C17" s="3"/>
      <c r="D17" s="15"/>
      <c r="E17" s="3"/>
    </row>
    <row r="18" spans="1:6" ht="25.15" customHeight="1">
      <c r="A18" s="278" t="s">
        <v>23</v>
      </c>
      <c r="B18" s="279"/>
      <c r="C18" s="279"/>
      <c r="D18" s="20"/>
      <c r="E18" s="21" t="s">
        <v>24</v>
      </c>
      <c r="F18" s="274" t="s">
        <v>77</v>
      </c>
    </row>
    <row r="19" spans="1:6" ht="12" customHeight="1">
      <c r="A19" s="6" t="s">
        <v>12</v>
      </c>
      <c r="B19" s="6" t="s">
        <v>13</v>
      </c>
      <c r="C19" s="13" t="s">
        <v>22</v>
      </c>
      <c r="D19" s="14"/>
      <c r="E19" s="12" t="s">
        <v>22</v>
      </c>
      <c r="F19" s="275"/>
    </row>
    <row r="20" spans="1:6">
      <c r="A20" s="27" t="s">
        <v>14</v>
      </c>
      <c r="B20" s="7"/>
      <c r="C20" s="3" t="s">
        <v>46</v>
      </c>
      <c r="D20" s="15" t="s">
        <v>18</v>
      </c>
      <c r="E20" s="3" t="s">
        <v>46</v>
      </c>
    </row>
    <row r="21" spans="1:6">
      <c r="A21" s="27"/>
      <c r="B21" s="7"/>
      <c r="C21" s="3" t="s">
        <v>46</v>
      </c>
      <c r="D21" s="15" t="s">
        <v>18</v>
      </c>
      <c r="E21" s="3" t="s">
        <v>46</v>
      </c>
    </row>
    <row r="22" spans="1:6">
      <c r="A22" s="27"/>
      <c r="B22" s="7"/>
      <c r="C22" s="3"/>
      <c r="D22" s="15"/>
      <c r="E22" s="3"/>
    </row>
    <row r="23" spans="1:6">
      <c r="A23" s="27"/>
      <c r="B23" s="7"/>
      <c r="C23" s="3"/>
      <c r="D23" s="15"/>
      <c r="E23" s="3"/>
    </row>
    <row r="24" spans="1:6">
      <c r="A24" s="27"/>
      <c r="B24" s="7"/>
      <c r="C24" s="3"/>
      <c r="D24" s="15"/>
      <c r="E24" s="3"/>
    </row>
    <row r="25" spans="1:6">
      <c r="A25" s="11"/>
      <c r="B25" s="7"/>
      <c r="C25" s="3"/>
      <c r="D25" s="15"/>
      <c r="E25" s="3"/>
    </row>
    <row r="26" spans="1:6">
      <c r="A26" s="11"/>
      <c r="B26" s="7"/>
      <c r="C26" s="3"/>
      <c r="D26" s="15"/>
      <c r="E26" s="3"/>
    </row>
    <row r="27" spans="1:6">
      <c r="A27" s="11"/>
      <c r="B27" s="7"/>
      <c r="C27" s="3"/>
      <c r="D27" s="15"/>
      <c r="E27" s="3"/>
    </row>
    <row r="28" spans="1:6">
      <c r="A28" s="11" t="s">
        <v>18</v>
      </c>
    </row>
    <row r="29" spans="1:6">
      <c r="A29" s="11"/>
    </row>
    <row r="30" spans="1:6">
      <c r="A30" s="11"/>
    </row>
  </sheetData>
  <sortState ref="B5:E12">
    <sortCondition ref="D5"/>
  </sortState>
  <mergeCells count="6">
    <mergeCell ref="F3:F4"/>
    <mergeCell ref="A1:F1"/>
    <mergeCell ref="A2:F2"/>
    <mergeCell ref="F18:F19"/>
    <mergeCell ref="A3:C3"/>
    <mergeCell ref="A18:C18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F17"/>
  <sheetViews>
    <sheetView workbookViewId="0">
      <selection sqref="A1:F1"/>
    </sheetView>
  </sheetViews>
  <sheetFormatPr defaultColWidth="8.85546875" defaultRowHeight="12"/>
  <cols>
    <col min="1" max="1" width="7.28515625" style="25" bestFit="1" customWidth="1"/>
    <col min="2" max="2" width="5.85546875" style="25" bestFit="1" customWidth="1"/>
    <col min="3" max="3" width="38.7109375" style="25" customWidth="1"/>
    <col min="4" max="4" width="1.28515625" style="25" bestFit="1" customWidth="1"/>
    <col min="5" max="5" width="38.7109375" style="25" customWidth="1"/>
    <col min="6" max="16384" width="8.85546875" style="25"/>
  </cols>
  <sheetData>
    <row r="1" spans="1:6" ht="18">
      <c r="A1" s="276" t="s">
        <v>80</v>
      </c>
      <c r="B1" s="276"/>
      <c r="C1" s="276"/>
      <c r="D1" s="276"/>
      <c r="E1" s="276"/>
      <c r="F1" s="276"/>
    </row>
    <row r="2" spans="1:6">
      <c r="A2" s="277">
        <v>0</v>
      </c>
      <c r="B2" s="277"/>
      <c r="C2" s="277"/>
      <c r="D2" s="277"/>
      <c r="E2" s="277"/>
      <c r="F2" s="277"/>
    </row>
    <row r="3" spans="1:6" ht="25.15" customHeight="1">
      <c r="A3" s="16" t="s">
        <v>23</v>
      </c>
      <c r="B3" s="17"/>
      <c r="C3" s="17"/>
      <c r="D3" s="20"/>
      <c r="E3" s="21" t="s">
        <v>24</v>
      </c>
      <c r="F3" s="274" t="s">
        <v>77</v>
      </c>
    </row>
    <row r="4" spans="1:6" ht="12" customHeight="1">
      <c r="A4" s="6" t="s">
        <v>12</v>
      </c>
      <c r="B4" s="6" t="s">
        <v>13</v>
      </c>
      <c r="C4" s="13" t="s">
        <v>22</v>
      </c>
      <c r="D4" s="14"/>
      <c r="E4" s="12" t="s">
        <v>22</v>
      </c>
      <c r="F4" s="275"/>
    </row>
    <row r="5" spans="1:6">
      <c r="A5" s="27" t="s">
        <v>14</v>
      </c>
      <c r="B5" s="7"/>
      <c r="C5" s="3"/>
      <c r="D5" s="15"/>
      <c r="E5" s="3"/>
    </row>
    <row r="6" spans="1:6">
      <c r="A6" s="27"/>
      <c r="B6" s="7"/>
      <c r="C6" s="3"/>
      <c r="D6" s="15"/>
      <c r="E6" s="3"/>
    </row>
    <row r="7" spans="1:6">
      <c r="A7" s="27"/>
      <c r="B7" s="7"/>
      <c r="C7" s="3"/>
      <c r="D7" s="15"/>
      <c r="E7" s="3"/>
    </row>
    <row r="8" spans="1:6">
      <c r="A8" s="27"/>
      <c r="B8" s="7"/>
      <c r="C8" s="3"/>
      <c r="D8" s="15"/>
      <c r="E8" s="3"/>
    </row>
    <row r="9" spans="1:6">
      <c r="A9" s="11"/>
      <c r="B9" s="7"/>
      <c r="C9" s="3"/>
      <c r="D9" s="15"/>
      <c r="E9" s="3"/>
    </row>
    <row r="10" spans="1:6">
      <c r="A10" s="27"/>
      <c r="B10" s="7"/>
      <c r="C10" s="3"/>
      <c r="D10" s="15"/>
      <c r="E10" s="3"/>
    </row>
    <row r="11" spans="1:6">
      <c r="A11" s="11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  <row r="13" spans="1:6">
      <c r="A13" s="28"/>
    </row>
    <row r="14" spans="1:6">
      <c r="A14" s="28" t="s">
        <v>18</v>
      </c>
    </row>
    <row r="15" spans="1:6">
      <c r="A15" s="28"/>
    </row>
    <row r="16" spans="1:6">
      <c r="A16" s="28"/>
    </row>
    <row r="17" spans="1:1">
      <c r="A17" s="28"/>
    </row>
  </sheetData>
  <mergeCells count="3">
    <mergeCell ref="F3:F4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sqref="A1:F1"/>
    </sheetView>
  </sheetViews>
  <sheetFormatPr defaultColWidth="8.85546875" defaultRowHeight="12"/>
  <cols>
    <col min="1" max="16384" width="8.85546875" style="25"/>
  </cols>
  <sheetData/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X34"/>
  <sheetViews>
    <sheetView zoomScaleNormal="100" workbookViewId="0">
      <pane ySplit="1" topLeftCell="A2" activePane="bottomLeft" state="frozen"/>
      <selection sqref="A1:F1"/>
      <selection pane="bottomLeft" sqref="A1:F1"/>
    </sheetView>
  </sheetViews>
  <sheetFormatPr defaultColWidth="8.85546875" defaultRowHeight="11.25"/>
  <cols>
    <col min="1" max="1" width="8.5703125" style="241" bestFit="1" customWidth="1"/>
    <col min="2" max="2" width="7.7109375" style="216" bestFit="1" customWidth="1"/>
    <col min="3" max="3" width="10.5703125" style="216" bestFit="1" customWidth="1"/>
    <col min="4" max="4" width="8.85546875" style="216"/>
    <col min="5" max="7" width="8.85546875" style="216" hidden="1" customWidth="1"/>
    <col min="8" max="8" width="8.85546875" style="216"/>
    <col min="9" max="9" width="3.140625" style="241" bestFit="1" customWidth="1"/>
    <col min="10" max="11" width="5.5703125" style="241" bestFit="1" customWidth="1"/>
    <col min="12" max="13" width="5" style="241" bestFit="1" customWidth="1"/>
    <col min="14" max="14" width="4" style="241" bestFit="1" customWidth="1"/>
    <col min="15" max="16" width="5" style="241" bestFit="1" customWidth="1"/>
    <col min="17" max="17" width="3.140625" style="241" bestFit="1" customWidth="1"/>
    <col min="18" max="19" width="5.5703125" style="241" bestFit="1" customWidth="1"/>
    <col min="20" max="21" width="5" style="241" bestFit="1" customWidth="1"/>
    <col min="22" max="24" width="4" style="241" bestFit="1" customWidth="1"/>
    <col min="25" max="16384" width="8.85546875" style="216"/>
  </cols>
  <sheetData>
    <row r="1" spans="1:24" ht="12" customHeight="1">
      <c r="A1" s="213" t="s">
        <v>37</v>
      </c>
      <c r="B1" s="214" t="s">
        <v>38</v>
      </c>
      <c r="C1" s="215" t="s">
        <v>39</v>
      </c>
      <c r="I1" s="284" t="s">
        <v>55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24">
      <c r="A2" s="217">
        <v>1</v>
      </c>
      <c r="B2" s="218">
        <f ca="1">RAND()/222</f>
        <v>1.4274794156420591E-3</v>
      </c>
      <c r="C2" s="218">
        <v>2.3862295008980103E-3</v>
      </c>
      <c r="I2" s="219"/>
      <c r="J2" s="220"/>
      <c r="K2" s="221" t="s">
        <v>56</v>
      </c>
      <c r="L2" s="221" t="s">
        <v>57</v>
      </c>
      <c r="M2" s="222" t="s">
        <v>58</v>
      </c>
      <c r="N2" s="221" t="s">
        <v>59</v>
      </c>
      <c r="O2" s="223" t="s">
        <v>60</v>
      </c>
      <c r="P2" s="224" t="s">
        <v>61</v>
      </c>
      <c r="Q2" s="296"/>
      <c r="R2" s="297"/>
      <c r="S2" s="225" t="s">
        <v>56</v>
      </c>
      <c r="T2" s="225" t="s">
        <v>57</v>
      </c>
      <c r="U2" s="225" t="s">
        <v>58</v>
      </c>
      <c r="V2" s="225" t="s">
        <v>59</v>
      </c>
      <c r="W2" s="226" t="s">
        <v>60</v>
      </c>
      <c r="X2" s="227" t="s">
        <v>61</v>
      </c>
    </row>
    <row r="3" spans="1:24">
      <c r="A3" s="217">
        <v>2</v>
      </c>
      <c r="B3" s="218">
        <f ca="1">RAND()/22</f>
        <v>3.0726338352373504E-2</v>
      </c>
      <c r="C3" s="218">
        <v>3.5766690248037773E-3</v>
      </c>
      <c r="I3" s="294" t="s">
        <v>62</v>
      </c>
      <c r="J3" s="228" t="s">
        <v>63</v>
      </c>
      <c r="K3" s="229">
        <v>1.5</v>
      </c>
      <c r="L3" s="229">
        <v>2</v>
      </c>
      <c r="M3" s="230">
        <v>2</v>
      </c>
      <c r="N3" s="230">
        <v>0</v>
      </c>
      <c r="O3" s="229">
        <v>0</v>
      </c>
      <c r="P3" s="230">
        <v>0</v>
      </c>
      <c r="Q3" s="294" t="s">
        <v>62</v>
      </c>
      <c r="R3" s="228" t="s">
        <v>63</v>
      </c>
      <c r="S3" s="229">
        <v>1.5</v>
      </c>
      <c r="T3" s="229">
        <v>0.5</v>
      </c>
      <c r="U3" s="229">
        <v>0</v>
      </c>
      <c r="V3" s="229">
        <v>0</v>
      </c>
      <c r="W3" s="229">
        <v>0</v>
      </c>
      <c r="X3" s="230">
        <v>0</v>
      </c>
    </row>
    <row r="4" spans="1:24">
      <c r="A4" s="217">
        <v>3</v>
      </c>
      <c r="B4" s="218">
        <f ca="1">RAND()/22</f>
        <v>2.7720316556894723E-2</v>
      </c>
      <c r="C4" s="218">
        <v>9.2960043566090549E-3</v>
      </c>
      <c r="I4" s="295"/>
      <c r="J4" s="228" t="s">
        <v>64</v>
      </c>
      <c r="K4" s="231">
        <v>3</v>
      </c>
      <c r="L4" s="231">
        <v>4</v>
      </c>
      <c r="M4" s="248">
        <v>4</v>
      </c>
      <c r="N4" s="248">
        <v>0</v>
      </c>
      <c r="O4" s="231">
        <v>0</v>
      </c>
      <c r="P4" s="248">
        <v>0</v>
      </c>
      <c r="Q4" s="295"/>
      <c r="R4" s="228" t="s">
        <v>64</v>
      </c>
      <c r="S4" s="231">
        <v>3</v>
      </c>
      <c r="T4" s="231">
        <v>1</v>
      </c>
      <c r="U4" s="231">
        <v>0</v>
      </c>
      <c r="V4" s="231">
        <v>0</v>
      </c>
      <c r="W4" s="231">
        <v>0</v>
      </c>
      <c r="X4" s="248">
        <v>0</v>
      </c>
    </row>
    <row r="5" spans="1:24">
      <c r="A5" s="217">
        <v>4</v>
      </c>
      <c r="B5" s="218">
        <f ca="1">RAND()/22</f>
        <v>2.8909221796962124E-2</v>
      </c>
      <c r="C5" s="218">
        <v>2.8495325252514577E-2</v>
      </c>
      <c r="I5" s="295"/>
      <c r="J5" s="228" t="s">
        <v>65</v>
      </c>
      <c r="K5" s="231">
        <v>6</v>
      </c>
      <c r="L5" s="231">
        <v>8</v>
      </c>
      <c r="M5" s="248">
        <v>8</v>
      </c>
      <c r="N5" s="248">
        <v>0</v>
      </c>
      <c r="O5" s="231">
        <v>0</v>
      </c>
      <c r="P5" s="248">
        <v>0</v>
      </c>
      <c r="Q5" s="295"/>
      <c r="R5" s="228" t="s">
        <v>65</v>
      </c>
      <c r="S5" s="231">
        <v>6</v>
      </c>
      <c r="T5" s="231">
        <v>2</v>
      </c>
      <c r="U5" s="231">
        <v>0</v>
      </c>
      <c r="V5" s="231">
        <v>0</v>
      </c>
      <c r="W5" s="231">
        <v>0</v>
      </c>
      <c r="X5" s="248">
        <v>0</v>
      </c>
    </row>
    <row r="6" spans="1:24">
      <c r="A6" s="217">
        <v>5</v>
      </c>
      <c r="B6" s="218">
        <f t="shared" ref="B6:B8" ca="1" si="0">RAND()/22</f>
        <v>2.8262309476961511E-2</v>
      </c>
      <c r="C6" s="218">
        <v>3.4200552671923075E-2</v>
      </c>
      <c r="I6" s="282"/>
      <c r="J6" s="228" t="s">
        <v>66</v>
      </c>
      <c r="K6" s="232">
        <v>7.5</v>
      </c>
      <c r="L6" s="232">
        <v>10</v>
      </c>
      <c r="M6" s="233">
        <v>10</v>
      </c>
      <c r="N6" s="233">
        <v>0</v>
      </c>
      <c r="O6" s="232">
        <v>0</v>
      </c>
      <c r="P6" s="233">
        <v>0</v>
      </c>
      <c r="Q6" s="282"/>
      <c r="R6" s="228" t="s">
        <v>66</v>
      </c>
      <c r="S6" s="232">
        <v>7.5</v>
      </c>
      <c r="T6" s="232">
        <v>2.5</v>
      </c>
      <c r="U6" s="232">
        <v>0</v>
      </c>
      <c r="V6" s="232">
        <v>0</v>
      </c>
      <c r="W6" s="232">
        <v>0</v>
      </c>
      <c r="X6" s="233">
        <v>0</v>
      </c>
    </row>
    <row r="7" spans="1:24">
      <c r="A7" s="217">
        <v>6</v>
      </c>
      <c r="B7" s="218">
        <f t="shared" ca="1" si="0"/>
        <v>3.0033115072860307E-2</v>
      </c>
      <c r="C7" s="218">
        <v>6.4847112844151752E-3</v>
      </c>
      <c r="I7" s="282" t="s">
        <v>67</v>
      </c>
      <c r="J7" s="234" t="s">
        <v>68</v>
      </c>
      <c r="K7" s="231">
        <v>0.5</v>
      </c>
      <c r="L7" s="231">
        <v>1</v>
      </c>
      <c r="M7" s="248">
        <v>1</v>
      </c>
      <c r="N7" s="248">
        <v>0</v>
      </c>
      <c r="O7" s="231">
        <v>0</v>
      </c>
      <c r="P7" s="248">
        <v>0</v>
      </c>
      <c r="Q7" s="283" t="s">
        <v>67</v>
      </c>
      <c r="R7" s="228" t="s">
        <v>68</v>
      </c>
      <c r="S7" s="235">
        <v>0.5</v>
      </c>
      <c r="T7" s="235">
        <v>0.5</v>
      </c>
      <c r="U7" s="235">
        <v>0</v>
      </c>
      <c r="V7" s="235">
        <v>0</v>
      </c>
      <c r="W7" s="235">
        <v>0</v>
      </c>
      <c r="X7" s="236">
        <v>0</v>
      </c>
    </row>
    <row r="8" spans="1:24">
      <c r="A8" s="217">
        <v>7</v>
      </c>
      <c r="B8" s="218">
        <f t="shared" ca="1" si="0"/>
        <v>2.3230401060023113E-2</v>
      </c>
      <c r="C8" s="218">
        <v>1.6488779790351973E-2</v>
      </c>
      <c r="I8" s="283"/>
      <c r="J8" s="228" t="s">
        <v>69</v>
      </c>
      <c r="K8" s="231">
        <v>1</v>
      </c>
      <c r="L8" s="231">
        <v>2</v>
      </c>
      <c r="M8" s="248">
        <v>2</v>
      </c>
      <c r="N8" s="248">
        <v>0</v>
      </c>
      <c r="O8" s="231">
        <v>0</v>
      </c>
      <c r="P8" s="248">
        <v>0</v>
      </c>
      <c r="Q8" s="283"/>
      <c r="R8" s="228" t="s">
        <v>69</v>
      </c>
      <c r="S8" s="237">
        <v>1</v>
      </c>
      <c r="T8" s="237">
        <v>1</v>
      </c>
      <c r="U8" s="237">
        <v>0</v>
      </c>
      <c r="V8" s="237">
        <v>0</v>
      </c>
      <c r="W8" s="237">
        <v>0</v>
      </c>
      <c r="X8" s="238">
        <v>0</v>
      </c>
    </row>
    <row r="9" spans="1:24">
      <c r="A9" s="217">
        <v>8</v>
      </c>
      <c r="B9" s="218">
        <f t="shared" ref="B9" ca="1" si="1">RAND()/22</f>
        <v>1.9313051638034692E-2</v>
      </c>
      <c r="C9" s="218">
        <v>1.960280208688683E-2</v>
      </c>
      <c r="I9" s="283"/>
      <c r="J9" s="228" t="s">
        <v>70</v>
      </c>
      <c r="K9" s="232">
        <v>2</v>
      </c>
      <c r="L9" s="232">
        <v>4</v>
      </c>
      <c r="M9" s="233">
        <v>4</v>
      </c>
      <c r="N9" s="233">
        <v>0</v>
      </c>
      <c r="O9" s="232">
        <v>0</v>
      </c>
      <c r="P9" s="233">
        <v>0</v>
      </c>
      <c r="Q9" s="283"/>
      <c r="R9" s="228" t="s">
        <v>70</v>
      </c>
      <c r="S9" s="239">
        <v>2</v>
      </c>
      <c r="T9" s="239">
        <v>2</v>
      </c>
      <c r="U9" s="239">
        <v>0</v>
      </c>
      <c r="V9" s="239">
        <v>0</v>
      </c>
      <c r="W9" s="239">
        <v>0</v>
      </c>
      <c r="X9" s="240">
        <v>0</v>
      </c>
    </row>
    <row r="10" spans="1:24"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</row>
    <row r="11" spans="1:24"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</row>
    <row r="12" spans="1:24">
      <c r="I12" s="284" t="s">
        <v>71</v>
      </c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6"/>
    </row>
    <row r="13" spans="1:24">
      <c r="I13" s="247"/>
      <c r="J13" s="248"/>
      <c r="K13" s="244" t="s">
        <v>56</v>
      </c>
      <c r="L13" s="244" t="s">
        <v>57</v>
      </c>
      <c r="M13" s="244" t="s">
        <v>58</v>
      </c>
      <c r="N13" s="244" t="s">
        <v>59</v>
      </c>
      <c r="O13" s="245" t="s">
        <v>60</v>
      </c>
      <c r="P13" s="246" t="s">
        <v>61</v>
      </c>
      <c r="Q13" s="292"/>
      <c r="R13" s="293"/>
      <c r="S13" s="244" t="s">
        <v>56</v>
      </c>
      <c r="T13" s="244" t="s">
        <v>57</v>
      </c>
      <c r="U13" s="244" t="s">
        <v>58</v>
      </c>
      <c r="V13" s="244" t="s">
        <v>59</v>
      </c>
      <c r="W13" s="245" t="s">
        <v>60</v>
      </c>
      <c r="X13" s="246" t="s">
        <v>61</v>
      </c>
    </row>
    <row r="14" spans="1:24">
      <c r="I14" s="294" t="s">
        <v>62</v>
      </c>
      <c r="J14" s="228" t="s">
        <v>63</v>
      </c>
      <c r="K14" s="229">
        <v>5</v>
      </c>
      <c r="L14" s="229">
        <v>7.5</v>
      </c>
      <c r="M14" s="229">
        <v>10</v>
      </c>
      <c r="N14" s="229">
        <v>15</v>
      </c>
      <c r="O14" s="229">
        <v>25</v>
      </c>
      <c r="P14" s="230">
        <v>30</v>
      </c>
      <c r="Q14" s="294" t="s">
        <v>62</v>
      </c>
      <c r="R14" s="228" t="s">
        <v>63</v>
      </c>
      <c r="S14" s="229">
        <v>5</v>
      </c>
      <c r="T14" s="229">
        <v>2.5</v>
      </c>
      <c r="U14" s="229">
        <v>2.5</v>
      </c>
      <c r="V14" s="229">
        <v>5</v>
      </c>
      <c r="W14" s="229">
        <v>10</v>
      </c>
      <c r="X14" s="230">
        <v>5</v>
      </c>
    </row>
    <row r="15" spans="1:24">
      <c r="I15" s="295"/>
      <c r="J15" s="228" t="s">
        <v>64</v>
      </c>
      <c r="K15" s="231">
        <v>10</v>
      </c>
      <c r="L15" s="231">
        <v>15</v>
      </c>
      <c r="M15" s="231">
        <v>20</v>
      </c>
      <c r="N15" s="231">
        <v>30</v>
      </c>
      <c r="O15" s="231">
        <v>50</v>
      </c>
      <c r="P15" s="248">
        <v>60</v>
      </c>
      <c r="Q15" s="295"/>
      <c r="R15" s="228" t="s">
        <v>64</v>
      </c>
      <c r="S15" s="231">
        <v>10</v>
      </c>
      <c r="T15" s="231">
        <v>5</v>
      </c>
      <c r="U15" s="231">
        <v>5</v>
      </c>
      <c r="V15" s="231">
        <v>10</v>
      </c>
      <c r="W15" s="231">
        <v>20</v>
      </c>
      <c r="X15" s="248">
        <v>10</v>
      </c>
    </row>
    <row r="16" spans="1:24">
      <c r="I16" s="295"/>
      <c r="J16" s="228" t="s">
        <v>65</v>
      </c>
      <c r="K16" s="231">
        <v>20</v>
      </c>
      <c r="L16" s="231">
        <v>30</v>
      </c>
      <c r="M16" s="231">
        <v>40</v>
      </c>
      <c r="N16" s="231">
        <v>60</v>
      </c>
      <c r="O16" s="231">
        <v>100</v>
      </c>
      <c r="P16" s="248">
        <v>120</v>
      </c>
      <c r="Q16" s="295"/>
      <c r="R16" s="228" t="s">
        <v>65</v>
      </c>
      <c r="S16" s="231">
        <v>20</v>
      </c>
      <c r="T16" s="231">
        <v>10</v>
      </c>
      <c r="U16" s="231">
        <v>10</v>
      </c>
      <c r="V16" s="231">
        <v>20</v>
      </c>
      <c r="W16" s="231">
        <v>40</v>
      </c>
      <c r="X16" s="248">
        <v>20</v>
      </c>
    </row>
    <row r="17" spans="9:24">
      <c r="I17" s="282"/>
      <c r="J17" s="228" t="s">
        <v>66</v>
      </c>
      <c r="K17" s="232">
        <v>25</v>
      </c>
      <c r="L17" s="232">
        <v>37.5</v>
      </c>
      <c r="M17" s="232">
        <v>50</v>
      </c>
      <c r="N17" s="232">
        <v>75</v>
      </c>
      <c r="O17" s="232">
        <v>125</v>
      </c>
      <c r="P17" s="233">
        <v>150</v>
      </c>
      <c r="Q17" s="282"/>
      <c r="R17" s="228" t="s">
        <v>66</v>
      </c>
      <c r="S17" s="232">
        <v>25</v>
      </c>
      <c r="T17" s="232">
        <v>12.5</v>
      </c>
      <c r="U17" s="232">
        <v>12.5</v>
      </c>
      <c r="V17" s="232">
        <v>25</v>
      </c>
      <c r="W17" s="232">
        <v>50</v>
      </c>
      <c r="X17" s="233">
        <v>25</v>
      </c>
    </row>
    <row r="18" spans="9:24">
      <c r="I18" s="283" t="s">
        <v>67</v>
      </c>
      <c r="J18" s="228" t="s">
        <v>68</v>
      </c>
      <c r="K18" s="229">
        <v>2.5</v>
      </c>
      <c r="L18" s="229">
        <v>4</v>
      </c>
      <c r="M18" s="229">
        <v>5</v>
      </c>
      <c r="N18" s="229">
        <v>7.5</v>
      </c>
      <c r="O18" s="229">
        <v>12.5</v>
      </c>
      <c r="P18" s="230">
        <v>15</v>
      </c>
      <c r="Q18" s="283" t="s">
        <v>67</v>
      </c>
      <c r="R18" s="228" t="s">
        <v>68</v>
      </c>
      <c r="S18" s="235">
        <v>2.5</v>
      </c>
      <c r="T18" s="235">
        <v>1.5</v>
      </c>
      <c r="U18" s="235">
        <v>1</v>
      </c>
      <c r="V18" s="235">
        <v>2.5</v>
      </c>
      <c r="W18" s="235">
        <v>5</v>
      </c>
      <c r="X18" s="236">
        <v>2.5</v>
      </c>
    </row>
    <row r="19" spans="9:24">
      <c r="I19" s="283"/>
      <c r="J19" s="228" t="s">
        <v>69</v>
      </c>
      <c r="K19" s="231">
        <v>5</v>
      </c>
      <c r="L19" s="231">
        <v>8</v>
      </c>
      <c r="M19" s="231">
        <v>10</v>
      </c>
      <c r="N19" s="231">
        <v>15</v>
      </c>
      <c r="O19" s="231">
        <v>25</v>
      </c>
      <c r="P19" s="248">
        <v>30</v>
      </c>
      <c r="Q19" s="283"/>
      <c r="R19" s="228" t="s">
        <v>69</v>
      </c>
      <c r="S19" s="237">
        <v>5</v>
      </c>
      <c r="T19" s="237">
        <v>3</v>
      </c>
      <c r="U19" s="237">
        <v>2</v>
      </c>
      <c r="V19" s="237">
        <v>5</v>
      </c>
      <c r="W19" s="237">
        <v>10</v>
      </c>
      <c r="X19" s="238">
        <v>5</v>
      </c>
    </row>
    <row r="20" spans="9:24">
      <c r="I20" s="283"/>
      <c r="J20" s="228" t="s">
        <v>70</v>
      </c>
      <c r="K20" s="232">
        <v>10</v>
      </c>
      <c r="L20" s="232">
        <v>16</v>
      </c>
      <c r="M20" s="232">
        <v>20</v>
      </c>
      <c r="N20" s="232">
        <v>30</v>
      </c>
      <c r="O20" s="232">
        <v>50</v>
      </c>
      <c r="P20" s="233">
        <v>60</v>
      </c>
      <c r="Q20" s="283"/>
      <c r="R20" s="228" t="s">
        <v>70</v>
      </c>
      <c r="S20" s="239">
        <v>10</v>
      </c>
      <c r="T20" s="239">
        <v>6</v>
      </c>
      <c r="U20" s="239">
        <v>4</v>
      </c>
      <c r="V20" s="239">
        <v>10</v>
      </c>
      <c r="W20" s="239">
        <v>20</v>
      </c>
      <c r="X20" s="240">
        <v>10</v>
      </c>
    </row>
    <row r="21" spans="9:24">
      <c r="I21" s="282" t="s">
        <v>72</v>
      </c>
      <c r="J21" s="234" t="s">
        <v>73</v>
      </c>
      <c r="K21" s="231">
        <v>1</v>
      </c>
      <c r="L21" s="231">
        <v>1.5</v>
      </c>
      <c r="M21" s="231">
        <v>2</v>
      </c>
      <c r="N21" s="231">
        <v>3</v>
      </c>
      <c r="O21" s="231">
        <v>5</v>
      </c>
      <c r="P21" s="248">
        <v>6</v>
      </c>
      <c r="Q21" s="282" t="s">
        <v>72</v>
      </c>
      <c r="R21" s="234" t="s">
        <v>73</v>
      </c>
      <c r="S21" s="231">
        <v>1</v>
      </c>
      <c r="T21" s="231">
        <v>0.5</v>
      </c>
      <c r="U21" s="231">
        <v>0.5</v>
      </c>
      <c r="V21" s="231">
        <v>1</v>
      </c>
      <c r="W21" s="231">
        <v>2</v>
      </c>
      <c r="X21" s="248">
        <v>1</v>
      </c>
    </row>
    <row r="22" spans="9:24">
      <c r="I22" s="283"/>
      <c r="J22" s="228" t="s">
        <v>74</v>
      </c>
      <c r="K22" s="231">
        <v>2</v>
      </c>
      <c r="L22" s="231">
        <v>3</v>
      </c>
      <c r="M22" s="231">
        <v>4</v>
      </c>
      <c r="N22" s="231">
        <v>6</v>
      </c>
      <c r="O22" s="231">
        <v>10</v>
      </c>
      <c r="P22" s="248">
        <v>12</v>
      </c>
      <c r="Q22" s="283"/>
      <c r="R22" s="228" t="s">
        <v>74</v>
      </c>
      <c r="S22" s="231">
        <v>2</v>
      </c>
      <c r="T22" s="231">
        <v>1</v>
      </c>
      <c r="U22" s="231">
        <v>1</v>
      </c>
      <c r="V22" s="231">
        <v>2</v>
      </c>
      <c r="W22" s="231">
        <v>4</v>
      </c>
      <c r="X22" s="248">
        <v>2</v>
      </c>
    </row>
    <row r="23" spans="9:24">
      <c r="I23" s="283"/>
      <c r="J23" s="228" t="s">
        <v>75</v>
      </c>
      <c r="K23" s="232">
        <v>4</v>
      </c>
      <c r="L23" s="232">
        <v>6</v>
      </c>
      <c r="M23" s="232">
        <v>8</v>
      </c>
      <c r="N23" s="232">
        <v>12</v>
      </c>
      <c r="O23" s="232">
        <v>20</v>
      </c>
      <c r="P23" s="233">
        <v>24</v>
      </c>
      <c r="Q23" s="283"/>
      <c r="R23" s="228" t="s">
        <v>75</v>
      </c>
      <c r="S23" s="232">
        <v>4</v>
      </c>
      <c r="T23" s="232">
        <v>2</v>
      </c>
      <c r="U23" s="232">
        <v>2</v>
      </c>
      <c r="V23" s="232">
        <v>4</v>
      </c>
      <c r="W23" s="232">
        <v>8</v>
      </c>
      <c r="X23" s="233">
        <v>4</v>
      </c>
    </row>
    <row r="24" spans="9:24"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</row>
    <row r="25" spans="9:24"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</row>
    <row r="26" spans="9:24" ht="12" customHeight="1">
      <c r="I26" s="243"/>
      <c r="J26" s="284" t="s">
        <v>76</v>
      </c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6"/>
      <c r="X26" s="249"/>
    </row>
    <row r="27" spans="9:24">
      <c r="I27" s="243"/>
      <c r="J27" s="287"/>
      <c r="K27" s="288"/>
      <c r="L27" s="221" t="s">
        <v>57</v>
      </c>
      <c r="M27" s="221" t="s">
        <v>58</v>
      </c>
      <c r="N27" s="221" t="s">
        <v>59</v>
      </c>
      <c r="O27" s="223" t="s">
        <v>60</v>
      </c>
      <c r="P27" s="224" t="s">
        <v>61</v>
      </c>
      <c r="Q27" s="287"/>
      <c r="R27" s="288"/>
      <c r="S27" s="221" t="s">
        <v>57</v>
      </c>
      <c r="T27" s="221" t="s">
        <v>58</v>
      </c>
      <c r="U27" s="221" t="s">
        <v>59</v>
      </c>
      <c r="V27" s="223" t="s">
        <v>60</v>
      </c>
      <c r="W27" s="224" t="s">
        <v>61</v>
      </c>
      <c r="X27" s="247"/>
    </row>
    <row r="28" spans="9:24" ht="12" customHeight="1">
      <c r="I28" s="243"/>
      <c r="J28" s="289" t="s">
        <v>62</v>
      </c>
      <c r="K28" s="228" t="s">
        <v>63</v>
      </c>
      <c r="L28" s="250">
        <v>2</v>
      </c>
      <c r="M28" s="251">
        <v>2.5</v>
      </c>
      <c r="N28" s="251">
        <v>4</v>
      </c>
      <c r="O28" s="251">
        <v>6.5</v>
      </c>
      <c r="P28" s="252">
        <v>7.5</v>
      </c>
      <c r="Q28" s="289" t="s">
        <v>62</v>
      </c>
      <c r="R28" s="228" t="s">
        <v>63</v>
      </c>
      <c r="S28" s="250">
        <v>2</v>
      </c>
      <c r="T28" s="251">
        <v>0.5</v>
      </c>
      <c r="U28" s="251">
        <v>1.5</v>
      </c>
      <c r="V28" s="251">
        <v>2.5</v>
      </c>
      <c r="W28" s="252">
        <v>1</v>
      </c>
      <c r="X28" s="243"/>
    </row>
    <row r="29" spans="9:24">
      <c r="I29" s="243"/>
      <c r="J29" s="290"/>
      <c r="K29" s="228" t="s">
        <v>64</v>
      </c>
      <c r="L29" s="253">
        <v>4</v>
      </c>
      <c r="M29" s="254">
        <v>5</v>
      </c>
      <c r="N29" s="254">
        <v>8</v>
      </c>
      <c r="O29" s="254">
        <v>13</v>
      </c>
      <c r="P29" s="255">
        <v>15</v>
      </c>
      <c r="Q29" s="290"/>
      <c r="R29" s="228" t="s">
        <v>64</v>
      </c>
      <c r="S29" s="253">
        <v>4</v>
      </c>
      <c r="T29" s="254">
        <v>1</v>
      </c>
      <c r="U29" s="254">
        <v>3</v>
      </c>
      <c r="V29" s="254">
        <v>5</v>
      </c>
      <c r="W29" s="255">
        <v>2</v>
      </c>
      <c r="X29" s="243"/>
    </row>
    <row r="30" spans="9:24">
      <c r="I30" s="243"/>
      <c r="J30" s="290"/>
      <c r="K30" s="228" t="s">
        <v>65</v>
      </c>
      <c r="L30" s="253">
        <v>8</v>
      </c>
      <c r="M30" s="254">
        <v>10</v>
      </c>
      <c r="N30" s="254">
        <v>16</v>
      </c>
      <c r="O30" s="254">
        <v>26</v>
      </c>
      <c r="P30" s="255">
        <v>30</v>
      </c>
      <c r="Q30" s="290"/>
      <c r="R30" s="228" t="s">
        <v>65</v>
      </c>
      <c r="S30" s="253">
        <v>8</v>
      </c>
      <c r="T30" s="254">
        <v>2</v>
      </c>
      <c r="U30" s="254">
        <v>6</v>
      </c>
      <c r="V30" s="254">
        <v>10</v>
      </c>
      <c r="W30" s="255">
        <v>4</v>
      </c>
      <c r="X30" s="243"/>
    </row>
    <row r="31" spans="9:24">
      <c r="I31" s="243"/>
      <c r="J31" s="291"/>
      <c r="K31" s="256" t="s">
        <v>66</v>
      </c>
      <c r="L31" s="257">
        <v>10</v>
      </c>
      <c r="M31" s="258">
        <v>12.5</v>
      </c>
      <c r="N31" s="258">
        <v>20</v>
      </c>
      <c r="O31" s="258">
        <v>32.5</v>
      </c>
      <c r="P31" s="259">
        <v>37.5</v>
      </c>
      <c r="Q31" s="291"/>
      <c r="R31" s="256" t="s">
        <v>66</v>
      </c>
      <c r="S31" s="257">
        <v>10</v>
      </c>
      <c r="T31" s="258">
        <v>2.5</v>
      </c>
      <c r="U31" s="258">
        <v>7.5</v>
      </c>
      <c r="V31" s="258">
        <v>13</v>
      </c>
      <c r="W31" s="259">
        <v>4.5</v>
      </c>
      <c r="X31" s="243"/>
    </row>
    <row r="32" spans="9:24">
      <c r="I32" s="243"/>
      <c r="J32" s="280" t="s">
        <v>67</v>
      </c>
      <c r="K32" s="260" t="s">
        <v>68</v>
      </c>
      <c r="L32" s="253">
        <v>1</v>
      </c>
      <c r="M32" s="254">
        <v>1.5</v>
      </c>
      <c r="N32" s="254">
        <v>2</v>
      </c>
      <c r="O32" s="254">
        <v>3</v>
      </c>
      <c r="P32" s="255">
        <v>4</v>
      </c>
      <c r="Q32" s="280" t="s">
        <v>67</v>
      </c>
      <c r="R32" s="260" t="s">
        <v>68</v>
      </c>
      <c r="S32" s="261">
        <v>1</v>
      </c>
      <c r="T32" s="262">
        <v>0.5</v>
      </c>
      <c r="U32" s="262">
        <v>0.5</v>
      </c>
      <c r="V32" s="262">
        <v>1</v>
      </c>
      <c r="W32" s="238">
        <v>1</v>
      </c>
      <c r="X32" s="243"/>
    </row>
    <row r="33" spans="9:24">
      <c r="I33" s="243"/>
      <c r="J33" s="280"/>
      <c r="K33" s="256" t="s">
        <v>69</v>
      </c>
      <c r="L33" s="253">
        <v>2</v>
      </c>
      <c r="M33" s="254">
        <v>3</v>
      </c>
      <c r="N33" s="254">
        <v>4</v>
      </c>
      <c r="O33" s="254">
        <v>6</v>
      </c>
      <c r="P33" s="255">
        <v>8</v>
      </c>
      <c r="Q33" s="280"/>
      <c r="R33" s="256" t="s">
        <v>69</v>
      </c>
      <c r="S33" s="261">
        <v>2</v>
      </c>
      <c r="T33" s="262">
        <v>1</v>
      </c>
      <c r="U33" s="262">
        <v>1</v>
      </c>
      <c r="V33" s="262">
        <v>2</v>
      </c>
      <c r="W33" s="238">
        <v>2</v>
      </c>
      <c r="X33" s="243"/>
    </row>
    <row r="34" spans="9:24">
      <c r="I34" s="243"/>
      <c r="J34" s="281"/>
      <c r="K34" s="256" t="s">
        <v>70</v>
      </c>
      <c r="L34" s="257">
        <v>4</v>
      </c>
      <c r="M34" s="258">
        <v>6</v>
      </c>
      <c r="N34" s="258">
        <v>8</v>
      </c>
      <c r="O34" s="258">
        <v>12</v>
      </c>
      <c r="P34" s="259">
        <v>16</v>
      </c>
      <c r="Q34" s="281"/>
      <c r="R34" s="256" t="s">
        <v>70</v>
      </c>
      <c r="S34" s="263">
        <v>4</v>
      </c>
      <c r="T34" s="264">
        <v>2</v>
      </c>
      <c r="U34" s="264">
        <v>2</v>
      </c>
      <c r="V34" s="264">
        <v>4</v>
      </c>
      <c r="W34" s="240">
        <v>4</v>
      </c>
      <c r="X34" s="243"/>
    </row>
  </sheetData>
  <sheetProtection formatCells="0" formatColumns="0" formatRows="0"/>
  <mergeCells count="21">
    <mergeCell ref="I1:X1"/>
    <mergeCell ref="Q2:R2"/>
    <mergeCell ref="I3:I6"/>
    <mergeCell ref="Q3:Q6"/>
    <mergeCell ref="I7:I9"/>
    <mergeCell ref="Q7:Q9"/>
    <mergeCell ref="I12:X12"/>
    <mergeCell ref="Q13:R13"/>
    <mergeCell ref="I14:I17"/>
    <mergeCell ref="Q14:Q17"/>
    <mergeCell ref="I18:I20"/>
    <mergeCell ref="Q18:Q20"/>
    <mergeCell ref="J32:J34"/>
    <mergeCell ref="Q32:Q34"/>
    <mergeCell ref="I21:I23"/>
    <mergeCell ref="Q21:Q23"/>
    <mergeCell ref="J26:W26"/>
    <mergeCell ref="J27:K27"/>
    <mergeCell ref="Q27:R27"/>
    <mergeCell ref="J28:J31"/>
    <mergeCell ref="Q28:Q3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2</vt:i4>
      </vt:variant>
    </vt:vector>
  </HeadingPairs>
  <TitlesOfParts>
    <vt:vector size="10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'Day2'!Print_Area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2014-07-01T06:20:21Z</cp:lastPrinted>
  <dcterms:created xsi:type="dcterms:W3CDTF">2011-03-03T12:31:09Z</dcterms:created>
  <dcterms:modified xsi:type="dcterms:W3CDTF">2026-06-03T18:50:33Z</dcterms:modified>
</cp:coreProperties>
</file>