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285" yWindow="90" windowWidth="20730" windowHeight="11535" firstSheet="2" activeTab="2"/>
  </bookViews>
  <sheets>
    <sheet name="Setup" sheetId="1" state="hidden" r:id="rId1"/>
    <sheet name="DrawPrep" sheetId="2" state="hidden" r:id="rId2"/>
    <sheet name="Draw" sheetId="12" r:id="rId3"/>
    <sheet name="PrgPrep" sheetId="6" state="hidden" r:id="rId4"/>
    <sheet name="Day1" sheetId="7" state="hidden" r:id="rId5"/>
    <sheet name="Day2" sheetId="10" state="hidden" r:id="rId6"/>
    <sheet name="notes" sheetId="8" state="hidden" r:id="rId7"/>
    <sheet name="tmp" sheetId="4" state="hidden" r:id="rId8"/>
  </sheets>
  <definedNames>
    <definedName name="_xlnm.Print_Area" localSheetId="2">Draw!$A$1:$T$48</definedName>
  </definedNames>
  <calcPr calcId="125725"/>
</workbook>
</file>

<file path=xl/calcChain.xml><?xml version="1.0" encoding="utf-8"?>
<calcChain xmlns="http://schemas.openxmlformats.org/spreadsheetml/2006/main">
  <c r="A2" i="10"/>
  <c r="A1"/>
  <c r="A2" i="7"/>
  <c r="A1"/>
  <c r="B5" i="4"/>
  <c r="B4"/>
  <c r="A27" i="1"/>
  <c r="A26"/>
  <c r="A1" i="6" l="1"/>
  <c r="A2" l="1"/>
  <c r="K25" i="2" l="1"/>
  <c r="K11"/>
  <c r="K5"/>
  <c r="K22"/>
  <c r="K17"/>
  <c r="K4"/>
  <c r="K27"/>
  <c r="K26"/>
  <c r="K9"/>
  <c r="K15"/>
  <c r="K10"/>
  <c r="K13"/>
  <c r="K29"/>
  <c r="K3"/>
  <c r="K31"/>
  <c r="K30"/>
  <c r="K28"/>
  <c r="K12"/>
  <c r="K16"/>
  <c r="K32"/>
  <c r="K14"/>
  <c r="K6"/>
  <c r="K21"/>
  <c r="K8"/>
  <c r="K19"/>
  <c r="K24"/>
  <c r="K23"/>
  <c r="K18"/>
  <c r="K20"/>
  <c r="K33"/>
  <c r="K34"/>
  <c r="K7"/>
  <c r="B18" i="1" l="1"/>
  <c r="B17"/>
  <c r="A29"/>
  <c r="B7" i="4" l="1"/>
  <c r="B6"/>
  <c r="I28" i="2" l="1"/>
  <c r="I3"/>
  <c r="I10"/>
  <c r="I29"/>
  <c r="I27"/>
  <c r="I22"/>
  <c r="I4"/>
  <c r="I9"/>
  <c r="I26"/>
  <c r="I15"/>
  <c r="I13"/>
  <c r="I32"/>
  <c r="I12"/>
  <c r="I30"/>
  <c r="I31"/>
  <c r="I11"/>
  <c r="I5"/>
  <c r="I17"/>
  <c r="I25"/>
  <c r="I7"/>
  <c r="I14"/>
  <c r="I6"/>
  <c r="I19"/>
  <c r="I23"/>
  <c r="I21"/>
  <c r="I8"/>
  <c r="I18"/>
  <c r="I20"/>
  <c r="I24"/>
  <c r="I33"/>
  <c r="I34"/>
  <c r="I16"/>
  <c r="B3" i="4" l="1"/>
  <c r="B2"/>
  <c r="C31" i="6" l="1"/>
  <c r="J67" i="12"/>
  <c r="J66"/>
  <c r="J65"/>
  <c r="J64"/>
  <c r="J63"/>
  <c r="J62"/>
  <c r="J61"/>
  <c r="J60"/>
  <c r="J47"/>
  <c r="J46"/>
  <c r="J45"/>
  <c r="J44"/>
  <c r="J43"/>
  <c r="R42"/>
  <c r="J42"/>
  <c r="J41"/>
  <c r="J40"/>
  <c r="G36"/>
  <c r="F36" s="1"/>
  <c r="C35"/>
  <c r="P34"/>
  <c r="N33"/>
  <c r="R32"/>
  <c r="P30"/>
  <c r="T28"/>
  <c r="P26"/>
  <c r="R24"/>
  <c r="P22"/>
  <c r="T20"/>
  <c r="P18"/>
  <c r="R16"/>
  <c r="P14"/>
  <c r="T12"/>
  <c r="P10"/>
  <c r="R8"/>
  <c r="P6"/>
  <c r="C6"/>
  <c r="G5"/>
  <c r="F5" s="1"/>
  <c r="B2"/>
  <c r="T1"/>
  <c r="A1"/>
  <c r="I5" l="1"/>
  <c r="J5" s="1"/>
  <c r="I36"/>
  <c r="J36" s="1"/>
  <c r="H5"/>
  <c r="H36"/>
  <c r="E35"/>
  <c r="E34"/>
  <c r="E32"/>
  <c r="E26"/>
  <c r="E24"/>
  <c r="E18"/>
  <c r="E16"/>
  <c r="E10"/>
  <c r="E6"/>
  <c r="D6" s="1"/>
  <c r="E8"/>
  <c r="E31" i="6" l="1"/>
  <c r="L36" i="12"/>
  <c r="E20" i="6" s="1"/>
  <c r="K36" i="12"/>
  <c r="N35" s="1"/>
  <c r="L5"/>
  <c r="C5" i="6" s="1"/>
  <c r="K5" i="12"/>
  <c r="N5" s="1"/>
  <c r="D7"/>
  <c r="B6"/>
  <c r="G6" s="1"/>
  <c r="B8" i="4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C24" i="6" l="1"/>
  <c r="H6" i="12"/>
  <c r="I6"/>
  <c r="K6" s="1"/>
  <c r="F6"/>
  <c r="D8"/>
  <c r="B7"/>
  <c r="H38" i="2"/>
  <c r="A1"/>
  <c r="H1"/>
  <c r="L6" i="12" l="1"/>
  <c r="J6"/>
  <c r="E5" i="6" s="1"/>
  <c r="H7" i="12"/>
  <c r="I7"/>
  <c r="L7" s="1"/>
  <c r="F7"/>
  <c r="D9"/>
  <c r="B8"/>
  <c r="G8" s="1"/>
  <c r="H8" l="1"/>
  <c r="I8"/>
  <c r="L8" s="1"/>
  <c r="F8"/>
  <c r="D10"/>
  <c r="B9"/>
  <c r="G9" s="1"/>
  <c r="J7"/>
  <c r="K7" l="1"/>
  <c r="N7" s="1"/>
  <c r="E24" i="6"/>
  <c r="H9" i="12"/>
  <c r="I9"/>
  <c r="L9" s="1"/>
  <c r="C6" i="6"/>
  <c r="F9" i="12"/>
  <c r="B10"/>
  <c r="G10" s="1"/>
  <c r="J8"/>
  <c r="K8" s="1"/>
  <c r="H10" l="1"/>
  <c r="I10"/>
  <c r="L10" s="1"/>
  <c r="E6" i="6"/>
  <c r="F10" i="12"/>
  <c r="J9"/>
  <c r="E2" i="1"/>
  <c r="B13" i="12" s="1"/>
  <c r="E5" i="1"/>
  <c r="B12" i="12" s="1"/>
  <c r="E6" i="1"/>
  <c r="B20" i="12" s="1"/>
  <c r="E7" i="1"/>
  <c r="B21" i="12" s="1"/>
  <c r="E3" i="1"/>
  <c r="B28" i="12" s="1"/>
  <c r="E8" i="1"/>
  <c r="B29" i="12" s="1"/>
  <c r="J2" i="1"/>
  <c r="J3" s="1"/>
  <c r="B31" i="6"/>
  <c r="B30"/>
  <c r="B29"/>
  <c r="B28"/>
  <c r="B27"/>
  <c r="B26"/>
  <c r="B25"/>
  <c r="B24"/>
  <c r="B20"/>
  <c r="B5"/>
  <c r="B6"/>
  <c r="B7"/>
  <c r="B8"/>
  <c r="B9"/>
  <c r="B10"/>
  <c r="B11"/>
  <c r="B12"/>
  <c r="B13"/>
  <c r="B14"/>
  <c r="B15"/>
  <c r="B16"/>
  <c r="B17"/>
  <c r="B18"/>
  <c r="B19"/>
  <c r="D5"/>
  <c r="D6"/>
  <c r="D24"/>
  <c r="D31"/>
  <c r="K9" i="12" l="1"/>
  <c r="N9" s="1"/>
  <c r="C25" i="6"/>
  <c r="I2" i="1"/>
  <c r="H2" s="1"/>
  <c r="I3"/>
  <c r="H3" s="1"/>
  <c r="J4"/>
  <c r="I4" s="1"/>
  <c r="C7" i="6"/>
  <c r="C30" i="12"/>
  <c r="E30" s="1"/>
  <c r="G29"/>
  <c r="I29" s="1"/>
  <c r="C22"/>
  <c r="E22" s="1"/>
  <c r="G21"/>
  <c r="I21" s="1"/>
  <c r="G20"/>
  <c r="I20" s="1"/>
  <c r="C19"/>
  <c r="G12"/>
  <c r="I12" s="1"/>
  <c r="C11"/>
  <c r="G28"/>
  <c r="I28" s="1"/>
  <c r="C27"/>
  <c r="C14"/>
  <c r="G13"/>
  <c r="I13" s="1"/>
  <c r="J10"/>
  <c r="K10" s="1"/>
  <c r="H4" i="1" l="1"/>
  <c r="J5"/>
  <c r="J6" s="1"/>
  <c r="E7" i="6"/>
  <c r="D7" s="1"/>
  <c r="E11" i="12"/>
  <c r="D11" s="1"/>
  <c r="H12"/>
  <c r="F12"/>
  <c r="E19"/>
  <c r="H20"/>
  <c r="F20"/>
  <c r="H21"/>
  <c r="F21"/>
  <c r="H29"/>
  <c r="F29"/>
  <c r="H13"/>
  <c r="F13"/>
  <c r="E14"/>
  <c r="E27"/>
  <c r="H28"/>
  <c r="F28"/>
  <c r="I5" i="1" l="1"/>
  <c r="H5" s="1"/>
  <c r="J7"/>
  <c r="I6"/>
  <c r="L29" i="12"/>
  <c r="J29"/>
  <c r="L21"/>
  <c r="J21"/>
  <c r="L20"/>
  <c r="J20"/>
  <c r="L12"/>
  <c r="J12"/>
  <c r="D12"/>
  <c r="D13" s="1"/>
  <c r="D14" s="1"/>
  <c r="B11"/>
  <c r="G11" s="1"/>
  <c r="I11" s="1"/>
  <c r="L28"/>
  <c r="J28"/>
  <c r="L13"/>
  <c r="J13"/>
  <c r="K13" l="1"/>
  <c r="N13" s="1"/>
  <c r="C26" i="6"/>
  <c r="K20" i="12"/>
  <c r="N19" s="1"/>
  <c r="E27" i="6"/>
  <c r="K29" i="12"/>
  <c r="N29" s="1"/>
  <c r="C30" i="6"/>
  <c r="K12" i="12"/>
  <c r="N11" s="1"/>
  <c r="E25" i="6"/>
  <c r="D25" s="1"/>
  <c r="K21" i="12"/>
  <c r="N21" s="1"/>
  <c r="C28" i="6"/>
  <c r="K28" i="12"/>
  <c r="N27" s="1"/>
  <c r="E29" i="6"/>
  <c r="H6" i="1"/>
  <c r="J8"/>
  <c r="I7"/>
  <c r="H7" s="1"/>
  <c r="E8" i="6"/>
  <c r="E12"/>
  <c r="C13"/>
  <c r="C17"/>
  <c r="C9"/>
  <c r="E16"/>
  <c r="D15" i="12"/>
  <c r="B15" s="1"/>
  <c r="G15" s="1"/>
  <c r="I15" s="1"/>
  <c r="B14"/>
  <c r="G14" s="1"/>
  <c r="I14" s="1"/>
  <c r="H11"/>
  <c r="F11"/>
  <c r="D16" l="1"/>
  <c r="B16" s="1"/>
  <c r="G16" s="1"/>
  <c r="I16" s="1"/>
  <c r="I8" i="1"/>
  <c r="H8" s="1"/>
  <c r="J9"/>
  <c r="H14" i="12"/>
  <c r="F14"/>
  <c r="L11"/>
  <c r="J11"/>
  <c r="K11" s="1"/>
  <c r="H15"/>
  <c r="F15"/>
  <c r="D17" l="1"/>
  <c r="B17" s="1"/>
  <c r="I17" s="1"/>
  <c r="J10" i="1"/>
  <c r="I9"/>
  <c r="H9" s="1"/>
  <c r="L14" i="12"/>
  <c r="J14"/>
  <c r="C8" i="6"/>
  <c r="D8" s="1"/>
  <c r="H16" i="12"/>
  <c r="F16"/>
  <c r="D18"/>
  <c r="L15"/>
  <c r="J15"/>
  <c r="K15" l="1"/>
  <c r="N15" s="1"/>
  <c r="E26" i="6"/>
  <c r="D26" s="1"/>
  <c r="J11" i="1"/>
  <c r="I10"/>
  <c r="H10" s="1"/>
  <c r="E9" i="6"/>
  <c r="D9" s="1"/>
  <c r="K14" i="12"/>
  <c r="C10" i="6"/>
  <c r="H17" i="12"/>
  <c r="F17"/>
  <c r="D19"/>
  <c r="B18"/>
  <c r="G18" s="1"/>
  <c r="I18" s="1"/>
  <c r="L16"/>
  <c r="J16"/>
  <c r="K16" s="1"/>
  <c r="I11" i="1" l="1"/>
  <c r="H11" s="1"/>
  <c r="J12"/>
  <c r="E10" i="6"/>
  <c r="D10" s="1"/>
  <c r="H18" i="12"/>
  <c r="F18"/>
  <c r="D20"/>
  <c r="D21" s="1"/>
  <c r="D22" s="1"/>
  <c r="B19"/>
  <c r="G19" s="1"/>
  <c r="I19" s="1"/>
  <c r="L17"/>
  <c r="J17"/>
  <c r="K17" l="1"/>
  <c r="N17" s="1"/>
  <c r="C27" i="6"/>
  <c r="D27" s="1"/>
  <c r="I12" i="1"/>
  <c r="H12" s="1"/>
  <c r="J13"/>
  <c r="C11" i="6"/>
  <c r="H19" i="12"/>
  <c r="F19"/>
  <c r="D23"/>
  <c r="B22"/>
  <c r="G22" s="1"/>
  <c r="I22" s="1"/>
  <c r="L18"/>
  <c r="J18"/>
  <c r="K18" s="1"/>
  <c r="J14" i="1" l="1"/>
  <c r="I13"/>
  <c r="H13" s="1"/>
  <c r="E11" i="6"/>
  <c r="D11" s="1"/>
  <c r="L19" i="12"/>
  <c r="J19"/>
  <c r="K19" s="1"/>
  <c r="H22"/>
  <c r="F22"/>
  <c r="D24"/>
  <c r="B23"/>
  <c r="G23" s="1"/>
  <c r="I23" s="1"/>
  <c r="I14" i="1" l="1"/>
  <c r="H14" s="1"/>
  <c r="J15"/>
  <c r="C12" i="6"/>
  <c r="D12" s="1"/>
  <c r="H23" i="12"/>
  <c r="F23"/>
  <c r="D25"/>
  <c r="B24"/>
  <c r="G24" s="1"/>
  <c r="I24" s="1"/>
  <c r="L22"/>
  <c r="J22"/>
  <c r="K22" s="1"/>
  <c r="J16" i="1" l="1"/>
  <c r="I15"/>
  <c r="H15" s="1"/>
  <c r="E13" i="6"/>
  <c r="D13" s="1"/>
  <c r="H24" i="12"/>
  <c r="F24"/>
  <c r="D26"/>
  <c r="B25"/>
  <c r="I25" s="1"/>
  <c r="L23"/>
  <c r="J23"/>
  <c r="K23" l="1"/>
  <c r="N23" s="1"/>
  <c r="E28" i="6"/>
  <c r="D28" s="1"/>
  <c r="I16" i="1"/>
  <c r="H16" s="1"/>
  <c r="J17"/>
  <c r="C14" i="6"/>
  <c r="H25" i="12"/>
  <c r="F25"/>
  <c r="D27"/>
  <c r="B26"/>
  <c r="G26" s="1"/>
  <c r="I26" s="1"/>
  <c r="L24"/>
  <c r="J24"/>
  <c r="K24" s="1"/>
  <c r="J18" i="1" l="1"/>
  <c r="I17"/>
  <c r="H17" s="1"/>
  <c r="E14" i="6"/>
  <c r="D14" s="1"/>
  <c r="H26" i="12"/>
  <c r="F26"/>
  <c r="D28"/>
  <c r="D29" s="1"/>
  <c r="D30" s="1"/>
  <c r="B27"/>
  <c r="G27" s="1"/>
  <c r="I27" s="1"/>
  <c r="L25"/>
  <c r="J25"/>
  <c r="K25" l="1"/>
  <c r="N25" s="1"/>
  <c r="C29" i="6"/>
  <c r="D29" s="1"/>
  <c r="I18" i="1"/>
  <c r="H18" s="1"/>
  <c r="J19"/>
  <c r="H27" i="12"/>
  <c r="F27"/>
  <c r="C15" i="6"/>
  <c r="D31" i="12"/>
  <c r="B30"/>
  <c r="G30" s="1"/>
  <c r="I30" s="1"/>
  <c r="L26"/>
  <c r="J26"/>
  <c r="K26" s="1"/>
  <c r="I19" i="1" l="1"/>
  <c r="H19" s="1"/>
  <c r="J20"/>
  <c r="L27" i="12"/>
  <c r="J27"/>
  <c r="E15" i="6"/>
  <c r="D15" s="1"/>
  <c r="H30" i="12"/>
  <c r="F30"/>
  <c r="D32"/>
  <c r="B31"/>
  <c r="I31" s="1"/>
  <c r="I20" i="1" l="1"/>
  <c r="H20" s="1"/>
  <c r="J21"/>
  <c r="C16" i="6"/>
  <c r="D16" s="1"/>
  <c r="K27" i="12"/>
  <c r="H31"/>
  <c r="F31"/>
  <c r="D33"/>
  <c r="B32"/>
  <c r="G32" s="1"/>
  <c r="I32" s="1"/>
  <c r="L30"/>
  <c r="J30"/>
  <c r="K30" s="1"/>
  <c r="J22" i="1" l="1"/>
  <c r="I21"/>
  <c r="H21" s="1"/>
  <c r="E17" i="6"/>
  <c r="D17" s="1"/>
  <c r="H32" i="12"/>
  <c r="F32"/>
  <c r="D34"/>
  <c r="B33"/>
  <c r="G33" s="1"/>
  <c r="I33" s="1"/>
  <c r="L31"/>
  <c r="J31"/>
  <c r="K31" l="1"/>
  <c r="N31" s="1"/>
  <c r="E30" i="6"/>
  <c r="D30" s="1"/>
  <c r="I22" i="1"/>
  <c r="H22" s="1"/>
  <c r="J23"/>
  <c r="C18" i="6"/>
  <c r="H33" i="12"/>
  <c r="F33"/>
  <c r="D35"/>
  <c r="B34"/>
  <c r="I34" s="1"/>
  <c r="L32"/>
  <c r="J32"/>
  <c r="K32" s="1"/>
  <c r="I23" i="1" l="1"/>
  <c r="H23" s="1"/>
  <c r="J24"/>
  <c r="E18" i="6"/>
  <c r="D18" s="1"/>
  <c r="H34" i="12"/>
  <c r="F34"/>
  <c r="D36"/>
  <c r="B35"/>
  <c r="G35" s="1"/>
  <c r="I35" s="1"/>
  <c r="L33"/>
  <c r="J33"/>
  <c r="K33" s="1"/>
  <c r="J25" i="1" l="1"/>
  <c r="I24"/>
  <c r="H24" s="1"/>
  <c r="H35" i="12"/>
  <c r="F35"/>
  <c r="C19" i="6"/>
  <c r="L34" i="12"/>
  <c r="J34"/>
  <c r="K34" s="1"/>
  <c r="J26" i="1" l="1"/>
  <c r="I25"/>
  <c r="H25" s="1"/>
  <c r="L35" i="12"/>
  <c r="J35"/>
  <c r="E19" i="6"/>
  <c r="D19" s="1"/>
  <c r="I26" i="1" l="1"/>
  <c r="H26" s="1"/>
  <c r="J27"/>
  <c r="C20" i="6"/>
  <c r="D20" s="1"/>
  <c r="K35" i="12"/>
  <c r="J28" i="1" l="1"/>
  <c r="I27"/>
  <c r="H27" s="1"/>
  <c r="I28" l="1"/>
  <c r="H28" s="1"/>
  <c r="J29"/>
  <c r="J30" l="1"/>
  <c r="I29"/>
  <c r="H29" s="1"/>
  <c r="I30" l="1"/>
  <c r="H30" s="1"/>
  <c r="J31"/>
  <c r="I31" l="1"/>
  <c r="H31" s="1"/>
  <c r="J32"/>
  <c r="I32" l="1"/>
  <c r="H32" s="1"/>
  <c r="J33"/>
  <c r="I33" s="1"/>
  <c r="H33" l="1"/>
</calcChain>
</file>

<file path=xl/sharedStrings.xml><?xml version="1.0" encoding="utf-8"?>
<sst xmlns="http://schemas.openxmlformats.org/spreadsheetml/2006/main" count="298" uniqueCount="128">
  <si>
    <t xml:space="preserve">Έναρξη: </t>
  </si>
  <si>
    <t xml:space="preserve">Λήξη: </t>
  </si>
  <si>
    <t xml:space="preserve">Επιδιατητής: </t>
  </si>
  <si>
    <t xml:space="preserve">Διοργανωτής: </t>
  </si>
  <si>
    <t xml:space="preserve">Τίτλος Τουρνουά: </t>
  </si>
  <si>
    <t xml:space="preserve">Έδρα αγώνων: </t>
  </si>
  <si>
    <t>Ονοματεπώνυμο</t>
  </si>
  <si>
    <t>Α.Μ.</t>
  </si>
  <si>
    <t>Τηλέφωνο</t>
  </si>
  <si>
    <t>Σύλλογος</t>
  </si>
  <si>
    <t>α/α</t>
  </si>
  <si>
    <t>seed</t>
  </si>
  <si>
    <t>3-4</t>
  </si>
  <si>
    <t>5-8</t>
  </si>
  <si>
    <t>ΩΡΑ</t>
  </si>
  <si>
    <t>Κτγρ.</t>
  </si>
  <si>
    <t>Έναρξη</t>
  </si>
  <si>
    <t>όχι πριν</t>
  </si>
  <si>
    <t xml:space="preserve">Τηλέφωνο επιδ: </t>
  </si>
  <si>
    <t>Θέσεις</t>
  </si>
  <si>
    <t>space pos</t>
  </si>
  <si>
    <t>από</t>
  </si>
  <si>
    <t xml:space="preserve"> </t>
  </si>
  <si>
    <t>Index</t>
  </si>
  <si>
    <t>Value</t>
  </si>
  <si>
    <t>ByeOrder</t>
  </si>
  <si>
    <t>Αθλητής-Σύλλογος</t>
  </si>
  <si>
    <t xml:space="preserve">Πλήθος bye (0-15): </t>
  </si>
  <si>
    <t>Πρόγραμμα αγώνων</t>
  </si>
  <si>
    <t>επώνυμο</t>
  </si>
  <si>
    <t>Round 2</t>
  </si>
  <si>
    <t>Don't Change this Worksheet !</t>
  </si>
  <si>
    <t xml:space="preserve">Αριθμός θέσεων seeded: </t>
  </si>
  <si>
    <t xml:space="preserve">1 2 3 4 5 6 7 8 </t>
  </si>
  <si>
    <t>ByeSum</t>
  </si>
  <si>
    <t>ByeCnt</t>
  </si>
  <si>
    <t>seeded players</t>
  </si>
  <si>
    <t>επιδιαιτητής</t>
  </si>
  <si>
    <t>2 &amp; w</t>
  </si>
  <si>
    <t>RndIndx</t>
  </si>
  <si>
    <t>random</t>
  </si>
  <si>
    <t>FixRandom</t>
  </si>
  <si>
    <t>SortPts</t>
  </si>
  <si>
    <t>Walk over</t>
  </si>
  <si>
    <t>med</t>
  </si>
  <si>
    <t>Ν ή Ο</t>
  </si>
  <si>
    <t>Pts</t>
  </si>
  <si>
    <t xml:space="preserve">0 0 0 0 0 0 0 0 0 0 0 0 0 0 0 0 0 0 0 0 0 0 0 0 0 0 0 0 0 0 0 0 0 0 0 0 0 0 0 0  </t>
  </si>
  <si>
    <t>BoldPlayers</t>
  </si>
  <si>
    <t/>
  </si>
  <si>
    <t>βαθμοί</t>
  </si>
  <si>
    <t>Υπογραφή</t>
  </si>
  <si>
    <t xml:space="preserve">md  (# για off) </t>
  </si>
  <si>
    <t>Rnd</t>
  </si>
  <si>
    <t>trim</t>
  </si>
  <si>
    <t>ΠΡΟΚΡΙΜΑΤΙΚΑ E1, E2 (32 για 8)</t>
  </si>
  <si>
    <t>17-32</t>
  </si>
  <si>
    <t>9-16</t>
  </si>
  <si>
    <t>2ος</t>
  </si>
  <si>
    <t>1ος</t>
  </si>
  <si>
    <t>E1</t>
  </si>
  <si>
    <t>E1-12</t>
  </si>
  <si>
    <t>E1-14</t>
  </si>
  <si>
    <t>E1-16</t>
  </si>
  <si>
    <t>E1-18</t>
  </si>
  <si>
    <t>E2</t>
  </si>
  <si>
    <t>E2-12</t>
  </si>
  <si>
    <t>E2-14</t>
  </si>
  <si>
    <t>E2-16</t>
  </si>
  <si>
    <t>ΚΥΡΙΩΣ ΤΑΜΠΛΟ E1, E2 &amp; E3</t>
  </si>
  <si>
    <t>E3</t>
  </si>
  <si>
    <t>E3-12</t>
  </si>
  <si>
    <t>E3-14</t>
  </si>
  <si>
    <t>E3-16</t>
  </si>
  <si>
    <t>ΔΙΠΛΑ E1, E2</t>
  </si>
  <si>
    <t xml:space="preserve">type: </t>
  </si>
  <si>
    <t>Main Draw</t>
  </si>
  <si>
    <t>i</t>
  </si>
  <si>
    <t>Round 1</t>
  </si>
  <si>
    <t>3 4</t>
  </si>
  <si>
    <t xml:space="preserve">Κατηγορία: </t>
  </si>
  <si>
    <t>32άρι ταμπλό</t>
  </si>
  <si>
    <t>ΣΤ' ΕΝΩΣΗ</t>
  </si>
  <si>
    <t>Open Προπαιδικό U10</t>
  </si>
  <si>
    <t>ΡΗΓΑΣ ΑΟΑΑ</t>
  </si>
  <si>
    <t>BOYS 10</t>
  </si>
  <si>
    <t>30/05/2026</t>
  </si>
  <si>
    <t>31/05/2026</t>
  </si>
  <si>
    <t>ΚΟΚΚΟΣΗ ΧΑΡΑ</t>
  </si>
  <si>
    <t>ΣΑΡΡΗΣ ΔΗΜΗΤΡΗΣ</t>
  </si>
  <si>
    <t>ΑΝΤΩΝΟΠΟΥΛΟΣ ΓΙΩΡΓΟΣ</t>
  </si>
  <si>
    <t>ΑΡΚΑΔΙΚΟΣ ΑΟΑ</t>
  </si>
  <si>
    <t>ΜΑΓΟΥΛΑΣ ΑΚΗΣ</t>
  </si>
  <si>
    <t>ΤΡΙΑΝΤΑΦΥΛΛΟΥ ΓΙΩΡΓΟΣ</t>
  </si>
  <si>
    <t>ΑΕΚ ΤΡΙΠΟΛΗΣ</t>
  </si>
  <si>
    <t>ΚΟΡΚΑΣ ΑΝΑΣΤΑΣΙΟΣ</t>
  </si>
  <si>
    <t>ΑΟΑ ΣΙΚΥΩΝΟΣ ΚΙΑΤΟΥ</t>
  </si>
  <si>
    <t>ΛΕΚΚΑΣ ΑΝΑΣΤΑΣΙΟΣ</t>
  </si>
  <si>
    <t>ΟΑ ΚΟΡΙΝΘΟΥ</t>
  </si>
  <si>
    <t>ΘΕΟΔΩΡΟΠΟΥΛΟΣ ΠΑΝΑΓΙΩΤΗΣ</t>
  </si>
  <si>
    <t>ΑΕΤΟΙ ΚΟΡΙΝΘΙΑΣ</t>
  </si>
  <si>
    <t>ΣΟΥΝΤΑΣ ΣΤΑΥΡΟΣ</t>
  </si>
  <si>
    <t>ΣΠΗΛΙΟΠΟΥΛΟΣ ΝΙΚΟΛΑΟΣ</t>
  </si>
  <si>
    <t>ΑΕΤ ΝΙΚΗ ΠΑΤΡΩΝ</t>
  </si>
  <si>
    <t>ΠΟΥΛΙΚΑΡΑΚΟΣ ΝΙΚΟΛΑΟΣ</t>
  </si>
  <si>
    <t>ΟΑ ΚΑΛΑΜΑΤΑΣ</t>
  </si>
  <si>
    <t>ΤΖΩΡΤΖΑΤΟΣ ΔΗΜΗΤΡΗΣ</t>
  </si>
  <si>
    <t>ΤΣΑΓΚΑΡΕΛΗΣ ΑΛΕΞΑΝΔΡΟΣ</t>
  </si>
  <si>
    <t>ΚΑΣΤΡΑΝΤΑΣ ΧΡΗΣΤΟΣ</t>
  </si>
  <si>
    <t>ΑΡΑΠΙ ΜΙΧΑΛΗΣ</t>
  </si>
  <si>
    <t>ΑΤΚ ΒΕΛΟ</t>
  </si>
  <si>
    <t>ΣΤΑΙΚΟΣ ΓΙΩΡΓΟΣ</t>
  </si>
  <si>
    <t>ΤΡΟΙΖΙΝΙΑΚΟΣ</t>
  </si>
  <si>
    <t>ΠΑΠΑΧΑΤΖΗΣ ΓΙΩΡΓΟΣ</t>
  </si>
  <si>
    <t>ΚΛΑΔΟΣ ΓΙΩΡΓΟΣ</t>
  </si>
  <si>
    <t>ok</t>
  </si>
  <si>
    <t>5 8 6 7</t>
  </si>
  <si>
    <t xml:space="preserve">0 0 0 0 0 0 0 0 0 0 0 0 0 0 0 1 2 3 4 5 6 7 8 10 15 11 16 9 14 17 13 12 </t>
  </si>
  <si>
    <t>40 40</t>
  </si>
  <si>
    <t xml:space="preserve">41 40 </t>
  </si>
  <si>
    <t>40 41</t>
  </si>
  <si>
    <t>41 40</t>
  </si>
  <si>
    <t>W.O.</t>
  </si>
  <si>
    <t>40 42</t>
  </si>
  <si>
    <t>42 41</t>
  </si>
  <si>
    <t xml:space="preserve">40 40 </t>
  </si>
  <si>
    <t>42 04 8-6</t>
  </si>
  <si>
    <t>42 42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</si>
</sst>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54">
    <font>
      <sz val="10"/>
      <name val="Arial"/>
      <charset val="161"/>
    </font>
    <font>
      <sz val="8"/>
      <name val="Arial"/>
      <family val="2"/>
      <charset val="161"/>
    </font>
    <font>
      <b/>
      <sz val="9"/>
      <name val="Arial"/>
      <family val="2"/>
      <charset val="161"/>
    </font>
    <font>
      <sz val="9"/>
      <name val="Arial"/>
      <family val="2"/>
      <charset val="161"/>
    </font>
    <font>
      <b/>
      <sz val="14"/>
      <name val="Arial"/>
      <family val="2"/>
      <charset val="161"/>
    </font>
    <font>
      <sz val="8"/>
      <name val="Arial"/>
      <family val="2"/>
      <charset val="161"/>
    </font>
    <font>
      <u/>
      <sz val="8"/>
      <name val="Arial"/>
      <family val="2"/>
      <charset val="161"/>
    </font>
    <font>
      <b/>
      <sz val="8"/>
      <color indexed="12"/>
      <name val="Arial"/>
      <family val="2"/>
      <charset val="161"/>
    </font>
    <font>
      <b/>
      <sz val="8"/>
      <name val="Arial"/>
      <family val="2"/>
      <charset val="161"/>
    </font>
    <font>
      <sz val="6"/>
      <name val="Arial"/>
      <family val="2"/>
      <charset val="161"/>
    </font>
    <font>
      <u/>
      <sz val="6"/>
      <color indexed="55"/>
      <name val="Arial"/>
      <family val="2"/>
      <charset val="161"/>
    </font>
    <font>
      <sz val="6"/>
      <color indexed="55"/>
      <name val="Arial"/>
      <family val="2"/>
      <charset val="161"/>
    </font>
    <font>
      <u/>
      <sz val="8"/>
      <color indexed="55"/>
      <name val="Arial"/>
      <family val="2"/>
      <charset val="161"/>
    </font>
    <font>
      <sz val="8"/>
      <color indexed="55"/>
      <name val="Arial"/>
      <family val="2"/>
      <charset val="161"/>
    </font>
    <font>
      <b/>
      <sz val="10"/>
      <name val="Arial"/>
      <family val="2"/>
      <charset val="161"/>
    </font>
    <font>
      <b/>
      <sz val="6"/>
      <color indexed="12"/>
      <name val="Arial"/>
      <family val="2"/>
      <charset val="161"/>
    </font>
    <font>
      <sz val="12"/>
      <name val="Arial"/>
      <family val="2"/>
      <charset val="161"/>
    </font>
    <font>
      <sz val="14"/>
      <name val="Arial"/>
      <family val="2"/>
      <charset val="161"/>
    </font>
    <font>
      <sz val="7"/>
      <name val="Arial"/>
      <family val="2"/>
      <charset val="161"/>
    </font>
    <font>
      <sz val="10"/>
      <name val="Arial"/>
      <family val="2"/>
      <charset val="161"/>
    </font>
    <font>
      <b/>
      <sz val="6"/>
      <name val="Arial"/>
      <family val="2"/>
      <charset val="161"/>
    </font>
    <font>
      <b/>
      <sz val="12"/>
      <name val="Arial"/>
      <family val="2"/>
      <charset val="161"/>
    </font>
    <font>
      <b/>
      <sz val="12"/>
      <color indexed="10"/>
      <name val="Arial"/>
      <family val="2"/>
      <charset val="161"/>
    </font>
    <font>
      <sz val="12"/>
      <color indexed="10"/>
      <name val="Arial"/>
      <family val="2"/>
      <charset val="161"/>
    </font>
    <font>
      <sz val="10"/>
      <color indexed="8"/>
      <name val="Arial"/>
      <family val="2"/>
      <charset val="161"/>
    </font>
    <font>
      <i/>
      <sz val="7"/>
      <name val="Arial"/>
      <family val="2"/>
      <charset val="161"/>
    </font>
    <font>
      <b/>
      <i/>
      <sz val="7"/>
      <name val="Arial"/>
      <family val="2"/>
      <charset val="161"/>
    </font>
    <font>
      <i/>
      <sz val="7"/>
      <color indexed="55"/>
      <name val="Arial"/>
      <family val="2"/>
      <charset val="161"/>
    </font>
    <font>
      <b/>
      <i/>
      <u/>
      <sz val="7"/>
      <color indexed="18"/>
      <name val="Arial"/>
      <family val="2"/>
      <charset val="161"/>
    </font>
    <font>
      <b/>
      <i/>
      <u/>
      <sz val="7"/>
      <name val="Arial"/>
      <family val="2"/>
      <charset val="161"/>
    </font>
    <font>
      <i/>
      <u/>
      <sz val="7"/>
      <name val="Arial"/>
      <family val="2"/>
      <charset val="161"/>
    </font>
    <font>
      <b/>
      <sz val="16"/>
      <name val="Arial"/>
      <family val="2"/>
      <charset val="161"/>
    </font>
    <font>
      <b/>
      <u/>
      <sz val="13"/>
      <name val="Arial"/>
      <family val="2"/>
      <charset val="161"/>
    </font>
    <font>
      <b/>
      <sz val="13"/>
      <name val="Arial"/>
      <family val="2"/>
      <charset val="161"/>
    </font>
    <font>
      <sz val="13"/>
      <name val="Arial"/>
      <family val="2"/>
      <charset val="161"/>
    </font>
    <font>
      <b/>
      <sz val="7"/>
      <color indexed="9"/>
      <name val="Arial"/>
      <family val="2"/>
      <charset val="161"/>
    </font>
    <font>
      <b/>
      <sz val="8"/>
      <color indexed="9"/>
      <name val="Arial"/>
      <family val="2"/>
      <charset val="161"/>
    </font>
    <font>
      <sz val="8"/>
      <color indexed="9"/>
      <name val="Arial"/>
      <family val="2"/>
      <charset val="161"/>
    </font>
    <font>
      <b/>
      <i/>
      <sz val="10"/>
      <name val="Arial"/>
      <family val="2"/>
      <charset val="161"/>
    </font>
    <font>
      <b/>
      <i/>
      <u/>
      <sz val="7"/>
      <color theme="0" tint="-4.9989318521683403E-2"/>
      <name val="Arial"/>
      <family val="2"/>
      <charset val="161"/>
    </font>
    <font>
      <i/>
      <sz val="7"/>
      <color theme="0" tint="-4.9989318521683403E-2"/>
      <name val="Arial"/>
      <family val="2"/>
      <charset val="161"/>
    </font>
    <font>
      <b/>
      <sz val="10"/>
      <color rgb="FFC00000"/>
      <name val="Arial"/>
      <family val="2"/>
      <charset val="161"/>
    </font>
    <font>
      <sz val="8"/>
      <color theme="0" tint="-0.499984740745262"/>
      <name val="Arial"/>
      <family val="2"/>
      <charset val="161"/>
    </font>
    <font>
      <i/>
      <sz val="8"/>
      <name val="Arial"/>
      <family val="2"/>
      <charset val="161"/>
    </font>
    <font>
      <b/>
      <u/>
      <sz val="14"/>
      <name val="Arial"/>
      <family val="2"/>
      <charset val="161"/>
    </font>
    <font>
      <i/>
      <u/>
      <sz val="10"/>
      <name val="Arial"/>
      <family val="2"/>
      <charset val="161"/>
    </font>
    <font>
      <b/>
      <u/>
      <sz val="9"/>
      <name val="Tahoma"/>
      <family val="2"/>
      <charset val="161"/>
    </font>
    <font>
      <sz val="9"/>
      <name val="Tahoma"/>
      <family val="2"/>
      <charset val="161"/>
    </font>
    <font>
      <b/>
      <sz val="9"/>
      <name val="Tahoma"/>
      <family val="2"/>
      <charset val="161"/>
    </font>
    <font>
      <b/>
      <sz val="9"/>
      <color rgb="FF000000"/>
      <name val="Tahoma"/>
      <family val="2"/>
      <charset val="161"/>
    </font>
    <font>
      <b/>
      <sz val="9"/>
      <color theme="1"/>
      <name val="Tahoma"/>
      <family val="2"/>
      <charset val="161"/>
    </font>
    <font>
      <sz val="9"/>
      <color theme="1"/>
      <name val="Tahoma"/>
      <family val="2"/>
      <charset val="161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4">
    <xf numFmtId="0" fontId="0" fillId="0" borderId="0" xfId="0"/>
    <xf numFmtId="0" fontId="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8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3" fillId="0" borderId="0" xfId="0" quotePrefix="1" applyFont="1" applyFill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4" fillId="8" borderId="12" xfId="0" applyFont="1" applyFill="1" applyBorder="1" applyAlignment="1">
      <alignment horizontal="centerContinuous" vertical="center"/>
    </xf>
    <xf numFmtId="49" fontId="4" fillId="0" borderId="1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2" fillId="0" borderId="0" xfId="0" applyFont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9" fillId="0" borderId="8" xfId="0" applyNumberFormat="1" applyFont="1" applyBorder="1" applyAlignment="1" applyProtection="1">
      <alignment horizontal="center" vertical="center"/>
      <protection locked="0"/>
    </xf>
    <xf numFmtId="0" fontId="19" fillId="0" borderId="8" xfId="0" applyNumberFormat="1" applyFont="1" applyBorder="1" applyAlignment="1" applyProtection="1">
      <alignment vertical="center"/>
      <protection locked="0"/>
    </xf>
    <xf numFmtId="0" fontId="19" fillId="0" borderId="0" xfId="0" applyNumberFormat="1" applyFont="1" applyAlignment="1" applyProtection="1">
      <alignment vertical="center"/>
      <protection locked="0"/>
    </xf>
    <xf numFmtId="0" fontId="21" fillId="0" borderId="0" xfId="0" applyNumberFormat="1" applyFont="1" applyBorder="1" applyAlignment="1" applyProtection="1">
      <alignment vertical="center"/>
      <protection locked="0"/>
    </xf>
    <xf numFmtId="0" fontId="14" fillId="0" borderId="0" xfId="0" applyNumberFormat="1" applyFont="1" applyBorder="1" applyAlignment="1" applyProtection="1">
      <alignment vertical="center"/>
      <protection locked="0"/>
    </xf>
    <xf numFmtId="0" fontId="5" fillId="0" borderId="8" xfId="0" applyNumberFormat="1" applyFont="1" applyBorder="1" applyAlignment="1" applyProtection="1">
      <alignment horizontal="center" vertical="center"/>
      <protection locked="0"/>
    </xf>
    <xf numFmtId="0" fontId="24" fillId="0" borderId="8" xfId="0" applyFont="1" applyBorder="1" applyProtection="1">
      <protection locked="0"/>
    </xf>
    <xf numFmtId="0" fontId="3" fillId="0" borderId="8" xfId="0" applyNumberFormat="1" applyFont="1" applyBorder="1" applyAlignment="1" applyProtection="1">
      <alignment vertical="center"/>
      <protection locked="0"/>
    </xf>
    <xf numFmtId="0" fontId="24" fillId="0" borderId="8" xfId="0" applyFont="1" applyBorder="1" applyAlignment="1" applyProtection="1">
      <alignment horizontal="center"/>
      <protection locked="0"/>
    </xf>
    <xf numFmtId="165" fontId="1" fillId="0" borderId="0" xfId="0" applyNumberFormat="1" applyFont="1" applyAlignment="1" applyProtection="1">
      <alignment horizontal="center" vertical="center"/>
      <protection locked="0"/>
    </xf>
    <xf numFmtId="0" fontId="19" fillId="0" borderId="0" xfId="0" applyNumberFormat="1" applyFont="1" applyBorder="1" applyAlignment="1" applyProtection="1">
      <alignment vertical="center"/>
      <protection locked="0"/>
    </xf>
    <xf numFmtId="0" fontId="0" fillId="0" borderId="8" xfId="0" applyNumberForma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vertical="center"/>
      <protection locked="0"/>
    </xf>
    <xf numFmtId="49" fontId="19" fillId="0" borderId="8" xfId="0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19" fillId="0" borderId="0" xfId="0" applyNumberFormat="1" applyFont="1" applyBorder="1" applyAlignment="1" applyProtection="1">
      <alignment horizontal="center" vertical="center"/>
      <protection locked="0"/>
    </xf>
    <xf numFmtId="0" fontId="19" fillId="0" borderId="0" xfId="0" applyNumberFormat="1" applyFont="1" applyBorder="1" applyAlignment="1" applyProtection="1">
      <alignment horizontal="left" vertical="center"/>
      <protection locked="0"/>
    </xf>
    <xf numFmtId="165" fontId="5" fillId="0" borderId="0" xfId="0" applyNumberFormat="1" applyFont="1" applyBorder="1" applyAlignment="1" applyProtection="1">
      <alignment horizontal="center" vertical="center"/>
      <protection locked="0"/>
    </xf>
    <xf numFmtId="0" fontId="38" fillId="0" borderId="0" xfId="0" applyNumberFormat="1" applyFont="1" applyBorder="1" applyAlignment="1" applyProtection="1">
      <alignment horizontal="right" vertical="center"/>
      <protection locked="0"/>
    </xf>
    <xf numFmtId="0" fontId="31" fillId="0" borderId="2" xfId="0" applyNumberFormat="1" applyFont="1" applyBorder="1" applyAlignment="1" applyProtection="1">
      <alignment horizontal="right" vertical="center"/>
    </xf>
    <xf numFmtId="0" fontId="14" fillId="2" borderId="8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Border="1" applyAlignment="1" applyProtection="1">
      <alignment horizontal="center" vertical="center"/>
    </xf>
    <xf numFmtId="0" fontId="14" fillId="2" borderId="13" xfId="0" applyNumberFormat="1" applyFont="1" applyFill="1" applyBorder="1" applyAlignment="1" applyProtection="1">
      <alignment horizontal="center" vertical="center"/>
    </xf>
    <xf numFmtId="0" fontId="14" fillId="2" borderId="14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vertical="center"/>
      <protection locked="0"/>
    </xf>
    <xf numFmtId="0" fontId="34" fillId="0" borderId="0" xfId="0" applyNumberFormat="1" applyFont="1" applyFill="1" applyAlignment="1" applyProtection="1">
      <alignment vertical="center"/>
      <protection locked="0"/>
    </xf>
    <xf numFmtId="0" fontId="11" fillId="3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Alignment="1" applyProtection="1">
      <alignment vertical="center"/>
      <protection locked="0"/>
    </xf>
    <xf numFmtId="0" fontId="5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NumberFormat="1" applyFont="1" applyFill="1" applyAlignment="1" applyProtection="1">
      <alignment horizontal="left" vertical="center"/>
      <protection locked="0"/>
    </xf>
    <xf numFmtId="0" fontId="9" fillId="0" borderId="0" xfId="0" applyNumberFormat="1" applyFont="1" applyFill="1" applyAlignment="1" applyProtection="1">
      <alignment horizontal="left" vertical="center"/>
      <protection locked="0"/>
    </xf>
    <xf numFmtId="0" fontId="10" fillId="0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13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5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9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NumberFormat="1" applyFont="1" applyFill="1" applyAlignment="1" applyProtection="1">
      <alignment vertical="center"/>
      <protection locked="0"/>
    </xf>
    <xf numFmtId="0" fontId="5" fillId="6" borderId="0" xfId="0" applyFont="1" applyFill="1" applyBorder="1" applyAlignment="1" applyProtection="1">
      <alignment horizontal="center" vertical="center"/>
      <protection locked="0"/>
    </xf>
    <xf numFmtId="0" fontId="18" fillId="7" borderId="0" xfId="0" applyFont="1" applyFill="1" applyBorder="1" applyAlignment="1" applyProtection="1">
      <alignment horizontal="center" vertical="center"/>
      <protection locked="0"/>
    </xf>
    <xf numFmtId="0" fontId="18" fillId="5" borderId="0" xfId="0" applyFont="1" applyFill="1" applyBorder="1" applyAlignment="1" applyProtection="1">
      <alignment horizontal="left" vertical="center"/>
      <protection locked="0"/>
    </xf>
    <xf numFmtId="0" fontId="18" fillId="7" borderId="0" xfId="0" applyFont="1" applyFill="1" applyBorder="1" applyAlignment="1" applyProtection="1">
      <alignment horizontal="left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NumberFormat="1" applyFont="1" applyFill="1" applyBorder="1" applyAlignment="1" applyProtection="1">
      <alignment horizontal="left" vertical="center"/>
      <protection locked="0"/>
    </xf>
    <xf numFmtId="0" fontId="11" fillId="3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left" vertical="center"/>
      <protection locked="0"/>
    </xf>
    <xf numFmtId="0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8" fillId="2" borderId="2" xfId="0" applyNumberFormat="1" applyFont="1" applyFill="1" applyBorder="1" applyAlignment="1" applyProtection="1">
      <alignment horizontal="center" vertical="center"/>
      <protection locked="0"/>
    </xf>
    <xf numFmtId="0" fontId="37" fillId="9" borderId="0" xfId="0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Fill="1" applyBorder="1" applyAlignment="1" applyProtection="1">
      <alignment horizontal="left" vertical="center"/>
      <protection locked="0"/>
    </xf>
    <xf numFmtId="0" fontId="35" fillId="9" borderId="0" xfId="0" applyFont="1" applyFill="1" applyBorder="1" applyAlignment="1" applyProtection="1">
      <alignment horizontal="center" vertical="center"/>
      <protection locked="0"/>
    </xf>
    <xf numFmtId="0" fontId="11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NumberFormat="1" applyFont="1" applyFill="1" applyBorder="1" applyAlignment="1" applyProtection="1">
      <alignment horizontal="center" vertical="center"/>
      <protection locked="0"/>
    </xf>
    <xf numFmtId="0" fontId="36" fillId="9" borderId="0" xfId="0" applyFont="1" applyFill="1" applyBorder="1" applyAlignment="1" applyProtection="1">
      <alignment horizontal="center" vertical="center"/>
      <protection locked="0"/>
    </xf>
    <xf numFmtId="0" fontId="5" fillId="2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quotePrefix="1" applyNumberFormat="1" applyFont="1" applyFill="1" applyAlignment="1" applyProtection="1">
      <alignment vertical="center"/>
      <protection locked="0"/>
    </xf>
    <xf numFmtId="0" fontId="25" fillId="0" borderId="0" xfId="0" applyNumberFormat="1" applyFont="1" applyFill="1" applyAlignment="1" applyProtection="1">
      <alignment vertical="center"/>
      <protection locked="0"/>
    </xf>
    <xf numFmtId="0" fontId="25" fillId="0" borderId="0" xfId="0" applyNumberFormat="1" applyFont="1" applyFill="1" applyAlignment="1" applyProtection="1">
      <alignment horizontal="center" vertical="center"/>
      <protection locked="0"/>
    </xf>
    <xf numFmtId="0" fontId="25" fillId="0" borderId="0" xfId="0" applyNumberFormat="1" applyFont="1" applyFill="1" applyAlignment="1" applyProtection="1">
      <alignment horizontal="left" vertical="center"/>
      <protection locked="0"/>
    </xf>
    <xf numFmtId="0" fontId="29" fillId="0" borderId="0" xfId="0" applyNumberFormat="1" applyFont="1" applyFill="1" applyBorder="1" applyAlignment="1" applyProtection="1">
      <alignment horizontal="left" vertical="center"/>
      <protection locked="0"/>
    </xf>
    <xf numFmtId="0" fontId="26" fillId="0" borderId="0" xfId="0" applyNumberFormat="1" applyFont="1" applyFill="1" applyBorder="1" applyAlignment="1" applyProtection="1">
      <alignment horizontal="centerContinuous" vertical="center"/>
      <protection locked="0"/>
    </xf>
    <xf numFmtId="0" fontId="27" fillId="0" borderId="0" xfId="0" applyNumberFormat="1" applyFont="1" applyFill="1" applyBorder="1" applyAlignment="1" applyProtection="1">
      <alignment horizontal="center" vertical="center"/>
      <protection locked="0"/>
    </xf>
    <xf numFmtId="0" fontId="27" fillId="0" borderId="0" xfId="0" applyNumberFormat="1" applyFont="1" applyFill="1" applyAlignment="1" applyProtection="1">
      <alignment vertical="center"/>
      <protection locked="0"/>
    </xf>
    <xf numFmtId="0" fontId="25" fillId="0" borderId="0" xfId="0" applyNumberFormat="1" applyFont="1" applyFill="1" applyBorder="1" applyAlignment="1" applyProtection="1">
      <alignment vertical="center"/>
      <protection locked="0"/>
    </xf>
    <xf numFmtId="0" fontId="27" fillId="0" borderId="0" xfId="0" applyNumberFormat="1" applyFont="1" applyFill="1" applyBorder="1" applyAlignment="1" applyProtection="1">
      <alignment vertical="center"/>
      <protection locked="0"/>
    </xf>
    <xf numFmtId="0" fontId="25" fillId="0" borderId="0" xfId="0" quotePrefix="1" applyNumberFormat="1" applyFont="1" applyFill="1" applyBorder="1" applyAlignment="1" applyProtection="1">
      <alignment vertical="center"/>
      <protection locked="0"/>
    </xf>
    <xf numFmtId="0" fontId="28" fillId="0" borderId="0" xfId="0" applyNumberFormat="1" applyFont="1" applyFill="1" applyBorder="1" applyAlignment="1" applyProtection="1">
      <alignment vertical="center"/>
      <protection locked="0"/>
    </xf>
    <xf numFmtId="0" fontId="30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4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0" fontId="5" fillId="0" borderId="7" xfId="0" applyNumberFormat="1" applyFont="1" applyFill="1" applyBorder="1" applyAlignment="1" applyProtection="1">
      <alignment horizontal="left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/>
    </xf>
    <xf numFmtId="0" fontId="5" fillId="2" borderId="4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left" vertical="center"/>
    </xf>
    <xf numFmtId="0" fontId="5" fillId="2" borderId="7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4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left" vertical="center"/>
    </xf>
    <xf numFmtId="0" fontId="8" fillId="2" borderId="7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5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left" vertical="center"/>
    </xf>
    <xf numFmtId="0" fontId="5" fillId="2" borderId="5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Alignment="1" applyProtection="1">
      <alignment horizontal="center" vertical="center"/>
      <protection locked="0"/>
    </xf>
    <xf numFmtId="0" fontId="19" fillId="0" borderId="8" xfId="0" applyFont="1" applyFill="1" applyBorder="1" applyAlignment="1" applyProtection="1">
      <alignment horizontal="center" vertical="center"/>
      <protection locked="0"/>
    </xf>
    <xf numFmtId="0" fontId="19" fillId="0" borderId="8" xfId="0" applyFont="1" applyFill="1" applyBorder="1" applyAlignment="1" applyProtection="1">
      <alignment vertical="center"/>
      <protection locked="0"/>
    </xf>
    <xf numFmtId="0" fontId="19" fillId="0" borderId="8" xfId="0" quotePrefix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5" borderId="0" xfId="0" applyNumberFormat="1" applyFont="1" applyFill="1" applyAlignment="1" applyProtection="1">
      <alignment horizontal="center" vertical="center"/>
      <protection locked="0"/>
    </xf>
    <xf numFmtId="0" fontId="20" fillId="5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2" xfId="0" applyNumberFormat="1" applyFont="1" applyFill="1" applyBorder="1" applyAlignment="1" applyProtection="1">
      <alignment horizontal="center" vertical="center"/>
      <protection locked="0"/>
    </xf>
    <xf numFmtId="0" fontId="18" fillId="2" borderId="1" xfId="0" applyNumberFormat="1" applyFont="1" applyFill="1" applyBorder="1" applyAlignment="1" applyProtection="1">
      <alignment horizontal="center" vertical="center"/>
      <protection locked="0"/>
    </xf>
    <xf numFmtId="0" fontId="18" fillId="2" borderId="2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NumberFormat="1" applyFont="1" applyFill="1" applyBorder="1" applyAlignment="1" applyProtection="1">
      <alignment horizontal="center" vertical="center"/>
      <protection locked="0"/>
    </xf>
    <xf numFmtId="0" fontId="32" fillId="0" borderId="0" xfId="0" applyNumberFormat="1" applyFont="1" applyFill="1" applyBorder="1" applyAlignment="1" applyProtection="1">
      <alignment vertical="center"/>
    </xf>
    <xf numFmtId="0" fontId="33" fillId="2" borderId="0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Border="1" applyAlignment="1" applyProtection="1">
      <alignment horizontal="left" vertical="center"/>
    </xf>
    <xf numFmtId="0" fontId="40" fillId="0" borderId="0" xfId="0" quotePrefix="1" applyNumberFormat="1" applyFont="1" applyFill="1" applyBorder="1" applyAlignment="1" applyProtection="1">
      <alignment vertical="center"/>
    </xf>
    <xf numFmtId="165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NumberFormat="1" applyFont="1" applyBorder="1" applyAlignment="1" applyProtection="1">
      <alignment horizontal="center" vertical="center"/>
      <protection locked="0"/>
    </xf>
    <xf numFmtId="0" fontId="5" fillId="11" borderId="7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Border="1" applyAlignment="1" applyProtection="1">
      <alignment horizontal="left" vertical="center"/>
      <protection locked="0"/>
    </xf>
    <xf numFmtId="0" fontId="13" fillId="3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NumberFormat="1" applyFont="1" applyFill="1" applyAlignment="1" applyProtection="1">
      <alignment vertical="center"/>
      <protection locked="0"/>
    </xf>
    <xf numFmtId="0" fontId="42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vertical="center"/>
      <protection locked="0"/>
    </xf>
    <xf numFmtId="0" fontId="43" fillId="0" borderId="0" xfId="0" applyFont="1" applyBorder="1" applyAlignment="1" applyProtection="1">
      <alignment horizontal="right" vertical="center"/>
    </xf>
    <xf numFmtId="0" fontId="43" fillId="10" borderId="15" xfId="0" applyFont="1" applyFill="1" applyBorder="1" applyAlignment="1" applyProtection="1">
      <alignment horizontal="left" vertical="center"/>
      <protection locked="0"/>
    </xf>
    <xf numFmtId="0" fontId="14" fillId="15" borderId="3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49" fontId="4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5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NumberFormat="1" applyFont="1" applyBorder="1" applyAlignment="1" applyProtection="1">
      <alignment vertical="center"/>
      <protection locked="0"/>
    </xf>
    <xf numFmtId="0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9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8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4" xfId="0" quotePrefix="1" applyNumberFormat="1" applyFont="1" applyBorder="1" applyAlignment="1" applyProtection="1">
      <alignment horizontal="center" vertical="center"/>
      <protection locked="0"/>
    </xf>
    <xf numFmtId="0" fontId="3" fillId="11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quotePrefix="1" applyNumberFormat="1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11" borderId="13" xfId="0" applyFont="1" applyFill="1" applyBorder="1" applyAlignment="1" applyProtection="1">
      <alignment horizontal="center" vertical="center"/>
      <protection locked="0"/>
    </xf>
    <xf numFmtId="0" fontId="3" fillId="11" borderId="4" xfId="0" applyFont="1" applyFill="1" applyBorder="1" applyAlignment="1" applyProtection="1">
      <alignment horizontal="center" vertical="center"/>
      <protection locked="0"/>
    </xf>
    <xf numFmtId="0" fontId="41" fillId="10" borderId="13" xfId="0" applyFont="1" applyFill="1" applyBorder="1" applyAlignment="1" applyProtection="1">
      <alignment horizontal="left" vertical="center"/>
      <protection locked="0"/>
    </xf>
    <xf numFmtId="0" fontId="3" fillId="0" borderId="7" xfId="0" quotePrefix="1" applyNumberFormat="1" applyFont="1" applyBorder="1" applyAlignment="1" applyProtection="1">
      <alignment horizontal="center" vertical="center"/>
      <protection locked="0"/>
    </xf>
    <xf numFmtId="0" fontId="9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11" borderId="15" xfId="0" applyFont="1" applyFill="1" applyBorder="1" applyAlignment="1" applyProtection="1">
      <alignment horizontal="center" vertical="center"/>
      <protection locked="0"/>
    </xf>
    <xf numFmtId="0" fontId="3" fillId="11" borderId="5" xfId="0" applyFont="1" applyFill="1" applyBorder="1" applyAlignment="1" applyProtection="1">
      <alignment horizontal="center" vertical="center"/>
      <protection locked="0"/>
    </xf>
    <xf numFmtId="0" fontId="41" fillId="10" borderId="15" xfId="0" applyFont="1" applyFill="1" applyBorder="1" applyAlignment="1" applyProtection="1">
      <alignment horizontal="left" vertical="center"/>
      <protection locked="0"/>
    </xf>
    <xf numFmtId="0" fontId="1" fillId="0" borderId="4" xfId="0" quotePrefix="1" applyNumberFormat="1" applyFont="1" applyBorder="1" applyAlignment="1" applyProtection="1">
      <alignment horizontal="center" vertical="center"/>
      <protection locked="0"/>
    </xf>
    <xf numFmtId="0" fontId="1" fillId="11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quotePrefix="1" applyNumberFormat="1" applyFont="1" applyFill="1" applyBorder="1" applyAlignment="1" applyProtection="1">
      <alignment horizontal="center" vertical="center"/>
      <protection locked="0"/>
    </xf>
    <xf numFmtId="0" fontId="1" fillId="0" borderId="15" xfId="0" applyNumberFormat="1" applyFont="1" applyFill="1" applyBorder="1" applyAlignment="1" applyProtection="1">
      <alignment horizontal="center" vertical="center"/>
      <protection locked="0"/>
    </xf>
    <xf numFmtId="0" fontId="1" fillId="11" borderId="15" xfId="0" applyFont="1" applyFill="1" applyBorder="1" applyAlignment="1" applyProtection="1">
      <alignment horizontal="center" vertical="center"/>
      <protection locked="0"/>
    </xf>
    <xf numFmtId="0" fontId="1" fillId="11" borderId="5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5" xfId="0" quotePrefix="1" applyNumberFormat="1" applyFont="1" applyBorder="1" applyAlignment="1" applyProtection="1">
      <alignment horizontal="center" vertical="center"/>
      <protection locked="0"/>
    </xf>
    <xf numFmtId="49" fontId="41" fillId="10" borderId="15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quotePrefix="1" applyNumberFormat="1" applyFont="1" applyFill="1" applyBorder="1" applyAlignment="1" applyProtection="1">
      <alignment horizontal="center" vertical="center"/>
      <protection locked="0"/>
    </xf>
    <xf numFmtId="0" fontId="41" fillId="10" borderId="14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" fillId="0" borderId="0" xfId="0" quotePrefix="1" applyFont="1" applyBorder="1" applyAlignment="1" applyProtection="1">
      <alignment horizontal="left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 vertical="center"/>
    </xf>
    <xf numFmtId="0" fontId="3" fillId="15" borderId="4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</xf>
    <xf numFmtId="0" fontId="1" fillId="0" borderId="0" xfId="0" quotePrefix="1" applyFont="1" applyFill="1" applyBorder="1" applyAlignment="1" applyProtection="1">
      <alignment vertical="center"/>
      <protection locked="0"/>
    </xf>
    <xf numFmtId="0" fontId="1" fillId="11" borderId="0" xfId="0" applyFont="1" applyFill="1" applyBorder="1" applyAlignment="1" applyProtection="1">
      <alignment horizontal="left" vertical="center"/>
      <protection locked="0"/>
    </xf>
    <xf numFmtId="0" fontId="1" fillId="11" borderId="0" xfId="0" applyFont="1" applyFill="1" applyBorder="1" applyAlignment="1" applyProtection="1">
      <alignment horizontal="centerContinuous" vertical="center"/>
      <protection locked="0"/>
    </xf>
    <xf numFmtId="0" fontId="1" fillId="0" borderId="0" xfId="0" applyFont="1" applyFill="1" applyBorder="1" applyAlignment="1" applyProtection="1">
      <alignment horizontal="centerContinuous" vertical="center"/>
      <protection locked="0"/>
    </xf>
    <xf numFmtId="0" fontId="1" fillId="0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quotePrefix="1" applyNumberFormat="1" applyFont="1" applyFill="1" applyBorder="1" applyAlignment="1" applyProtection="1">
      <alignment horizontal="center" vertical="center"/>
      <protection locked="0"/>
    </xf>
    <xf numFmtId="0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1" fillId="11" borderId="14" xfId="0" applyFont="1" applyFill="1" applyBorder="1" applyAlignment="1" applyProtection="1">
      <alignment horizontal="center" vertical="center"/>
      <protection locked="0"/>
    </xf>
    <xf numFmtId="0" fontId="1" fillId="11" borderId="7" xfId="0" applyFont="1" applyFill="1" applyBorder="1" applyAlignment="1" applyProtection="1">
      <alignment horizontal="center" vertical="center"/>
      <protection locked="0"/>
    </xf>
    <xf numFmtId="0" fontId="1" fillId="0" borderId="0" xfId="0" quotePrefix="1" applyFont="1" applyBorder="1" applyAlignment="1" applyProtection="1">
      <alignment vertical="center"/>
      <protection locked="0"/>
    </xf>
    <xf numFmtId="0" fontId="8" fillId="0" borderId="0" xfId="0" quotePrefix="1" applyFont="1" applyBorder="1" applyAlignment="1" applyProtection="1">
      <alignment horizontal="left" vertical="center"/>
      <protection locked="0"/>
    </xf>
    <xf numFmtId="0" fontId="8" fillId="0" borderId="0" xfId="0" quotePrefix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1" fillId="0" borderId="0" xfId="0" quotePrefix="1" applyFont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quotePrefix="1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Border="1" applyAlignment="1" applyProtection="1">
      <alignment vertical="center"/>
      <protection locked="0"/>
    </xf>
    <xf numFmtId="0" fontId="46" fillId="0" borderId="0" xfId="0" applyFont="1" applyBorder="1" applyAlignment="1" applyProtection="1">
      <alignment horizontal="center" vertical="center"/>
    </xf>
    <xf numFmtId="0" fontId="46" fillId="0" borderId="0" xfId="0" applyFont="1" applyBorder="1" applyAlignment="1" applyProtection="1">
      <alignment horizontal="center" vertical="center"/>
      <protection locked="0"/>
    </xf>
    <xf numFmtId="164" fontId="46" fillId="0" borderId="0" xfId="0" applyNumberFormat="1" applyFont="1" applyBorder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8" fillId="0" borderId="10" xfId="0" applyFont="1" applyBorder="1" applyAlignment="1" applyProtection="1">
      <alignment horizontal="center" vertical="center"/>
      <protection locked="0"/>
    </xf>
    <xf numFmtId="0" fontId="48" fillId="0" borderId="11" xfId="0" applyFont="1" applyBorder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vertical="center"/>
    </xf>
    <xf numFmtId="0" fontId="47" fillId="0" borderId="0" xfId="0" applyFont="1" applyBorder="1" applyAlignment="1" applyProtection="1">
      <alignment horizontal="center" vertical="center"/>
    </xf>
    <xf numFmtId="164" fontId="47" fillId="0" borderId="0" xfId="0" applyNumberFormat="1" applyFont="1" applyBorder="1" applyAlignment="1" applyProtection="1">
      <alignment horizontal="center" vertical="center"/>
      <protection locked="0"/>
    </xf>
    <xf numFmtId="0" fontId="47" fillId="4" borderId="6" xfId="0" applyFont="1" applyFill="1" applyBorder="1" applyAlignment="1" applyProtection="1">
      <alignment horizontal="center" vertical="center"/>
      <protection locked="0"/>
    </xf>
    <xf numFmtId="0" fontId="47" fillId="0" borderId="5" xfId="0" applyFont="1" applyFill="1" applyBorder="1" applyAlignment="1" applyProtection="1">
      <alignment horizontal="center" vertical="center"/>
      <protection locked="0"/>
    </xf>
    <xf numFmtId="0" fontId="48" fillId="0" borderId="5" xfId="0" applyFont="1" applyBorder="1" applyAlignment="1" applyProtection="1">
      <alignment horizontal="center" vertical="center"/>
      <protection locked="0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11" xfId="0" applyFont="1" applyBorder="1" applyAlignment="1" applyProtection="1">
      <alignment horizontal="center" vertical="center"/>
      <protection locked="0"/>
    </xf>
    <xf numFmtId="0" fontId="47" fillId="12" borderId="8" xfId="0" quotePrefix="1" applyFont="1" applyFill="1" applyBorder="1" applyAlignment="1" applyProtection="1">
      <alignment horizontal="center" vertical="center"/>
      <protection locked="0"/>
    </xf>
    <xf numFmtId="0" fontId="47" fillId="12" borderId="11" xfId="0" quotePrefix="1" applyFont="1" applyFill="1" applyBorder="1" applyAlignment="1" applyProtection="1">
      <alignment horizontal="center" vertical="center"/>
      <protection locked="0"/>
    </xf>
    <xf numFmtId="0" fontId="47" fillId="12" borderId="8" xfId="0" applyFont="1" applyFill="1" applyBorder="1" applyAlignment="1" applyProtection="1">
      <alignment horizontal="center" vertical="center"/>
      <protection locked="0"/>
    </xf>
    <xf numFmtId="0" fontId="47" fillId="12" borderId="11" xfId="0" applyFont="1" applyFill="1" applyBorder="1" applyAlignment="1" applyProtection="1">
      <alignment horizontal="center" vertical="center"/>
      <protection locked="0"/>
    </xf>
    <xf numFmtId="0" fontId="47" fillId="12" borderId="13" xfId="0" quotePrefix="1" applyFont="1" applyFill="1" applyBorder="1" applyAlignment="1" applyProtection="1">
      <alignment horizontal="center" vertical="center"/>
      <protection locked="0"/>
    </xf>
    <xf numFmtId="0" fontId="47" fillId="12" borderId="13" xfId="0" applyFont="1" applyFill="1" applyBorder="1" applyAlignment="1" applyProtection="1">
      <alignment horizontal="center" vertical="center"/>
      <protection locked="0"/>
    </xf>
    <xf numFmtId="0" fontId="47" fillId="12" borderId="4" xfId="0" applyFont="1" applyFill="1" applyBorder="1" applyAlignment="1" applyProtection="1">
      <alignment horizontal="center" vertical="center"/>
      <protection locked="0"/>
    </xf>
    <xf numFmtId="0" fontId="47" fillId="4" borderId="9" xfId="0" applyFont="1" applyFill="1" applyBorder="1" applyAlignment="1" applyProtection="1">
      <alignment horizontal="center" vertical="center"/>
      <protection locked="0"/>
    </xf>
    <xf numFmtId="0" fontId="47" fillId="0" borderId="7" xfId="0" applyFont="1" applyFill="1" applyBorder="1" applyAlignment="1" applyProtection="1">
      <alignment horizontal="center" vertical="center"/>
      <protection locked="0"/>
    </xf>
    <xf numFmtId="0" fontId="48" fillId="0" borderId="5" xfId="0" applyFont="1" applyFill="1" applyBorder="1" applyAlignment="1" applyProtection="1">
      <alignment horizontal="center" vertical="center"/>
      <protection locked="0"/>
    </xf>
    <xf numFmtId="0" fontId="47" fillId="13" borderId="10" xfId="0" applyFont="1" applyFill="1" applyBorder="1" applyAlignment="1" applyProtection="1">
      <alignment horizontal="center" vertical="center"/>
      <protection locked="0"/>
    </xf>
    <xf numFmtId="0" fontId="47" fillId="0" borderId="13" xfId="0" applyFont="1" applyBorder="1" applyAlignment="1" applyProtection="1">
      <alignment horizontal="center" vertical="center"/>
      <protection locked="0"/>
    </xf>
    <xf numFmtId="0" fontId="47" fillId="0" borderId="4" xfId="0" applyFont="1" applyBorder="1" applyAlignment="1" applyProtection="1">
      <alignment horizontal="center" vertical="center"/>
      <protection locked="0"/>
    </xf>
    <xf numFmtId="0" fontId="47" fillId="4" borderId="3" xfId="0" applyFont="1" applyFill="1" applyBorder="1" applyAlignment="1" applyProtection="1">
      <alignment horizontal="center" vertical="center"/>
      <protection locked="0"/>
    </xf>
    <xf numFmtId="0" fontId="47" fillId="0" borderId="4" xfId="0" applyFont="1" applyFill="1" applyBorder="1" applyAlignment="1" applyProtection="1">
      <alignment horizontal="center" vertical="center"/>
      <protection locked="0"/>
    </xf>
    <xf numFmtId="0" fontId="47" fillId="0" borderId="15" xfId="0" applyFont="1" applyBorder="1" applyAlignment="1" applyProtection="1">
      <alignment horizontal="center" vertical="center"/>
      <protection locked="0"/>
    </xf>
    <xf numFmtId="0" fontId="47" fillId="0" borderId="5" xfId="0" applyFont="1" applyBorder="1" applyAlignment="1" applyProtection="1">
      <alignment horizontal="center" vertical="center"/>
      <protection locked="0"/>
    </xf>
    <xf numFmtId="0" fontId="47" fillId="0" borderId="14" xfId="0" applyFont="1" applyBorder="1" applyAlignment="1" applyProtection="1">
      <alignment horizontal="center" vertical="center"/>
      <protection locked="0"/>
    </xf>
    <xf numFmtId="0" fontId="47" fillId="0" borderId="7" xfId="0" applyFont="1" applyBorder="1" applyAlignment="1" applyProtection="1">
      <alignment horizontal="center" vertical="center"/>
      <protection locked="0"/>
    </xf>
    <xf numFmtId="0" fontId="47" fillId="13" borderId="9" xfId="0" applyFont="1" applyFill="1" applyBorder="1" applyAlignment="1" applyProtection="1">
      <alignment horizontal="center" vertical="center"/>
      <protection locked="0"/>
    </xf>
    <xf numFmtId="0" fontId="47" fillId="14" borderId="13" xfId="0" applyFont="1" applyFill="1" applyBorder="1" applyAlignment="1" applyProtection="1">
      <alignment horizontal="center" vertical="center"/>
      <protection locked="0"/>
    </xf>
    <xf numFmtId="0" fontId="47" fillId="14" borderId="4" xfId="0" applyFont="1" applyFill="1" applyBorder="1" applyAlignment="1" applyProtection="1">
      <alignment horizontal="center" vertical="center"/>
      <protection locked="0"/>
    </xf>
    <xf numFmtId="0" fontId="47" fillId="14" borderId="15" xfId="0" applyFont="1" applyFill="1" applyBorder="1" applyAlignment="1" applyProtection="1">
      <alignment horizontal="center" vertical="center"/>
      <protection locked="0"/>
    </xf>
    <xf numFmtId="0" fontId="47" fillId="14" borderId="5" xfId="0" applyFont="1" applyFill="1" applyBorder="1" applyAlignment="1" applyProtection="1">
      <alignment horizontal="center" vertical="center"/>
      <protection locked="0"/>
    </xf>
    <xf numFmtId="0" fontId="47" fillId="14" borderId="14" xfId="0" applyFont="1" applyFill="1" applyBorder="1" applyAlignment="1" applyProtection="1">
      <alignment horizontal="center" vertical="center"/>
      <protection locked="0"/>
    </xf>
    <xf numFmtId="0" fontId="47" fillId="14" borderId="7" xfId="0" applyFont="1" applyFill="1" applyBorder="1" applyAlignment="1" applyProtection="1">
      <alignment horizontal="center" vertical="center"/>
      <protection locked="0"/>
    </xf>
    <xf numFmtId="0" fontId="47" fillId="0" borderId="3" xfId="0" applyFont="1" applyFill="1" applyBorder="1" applyAlignment="1" applyProtection="1">
      <alignment horizontal="center" vertical="center"/>
      <protection locked="0"/>
    </xf>
    <xf numFmtId="0" fontId="47" fillId="0" borderId="0" xfId="0" applyFont="1" applyBorder="1" applyAlignment="1" applyProtection="1">
      <alignment horizontal="center" vertical="center"/>
      <protection locked="0"/>
    </xf>
    <xf numFmtId="0" fontId="47" fillId="0" borderId="9" xfId="0" applyFont="1" applyFill="1" applyBorder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horizontal="center" vertical="center"/>
      <protection locked="0"/>
    </xf>
    <xf numFmtId="0" fontId="47" fillId="0" borderId="6" xfId="0" applyFont="1" applyFill="1" applyBorder="1" applyAlignment="1" applyProtection="1">
      <alignment horizontal="center" vertical="center"/>
      <protection locked="0"/>
    </xf>
    <xf numFmtId="0" fontId="47" fillId="0" borderId="6" xfId="0" applyFont="1" applyBorder="1" applyAlignment="1" applyProtection="1">
      <alignment horizontal="center" vertical="center"/>
      <protection locked="0"/>
    </xf>
    <xf numFmtId="0" fontId="47" fillId="12" borderId="15" xfId="0" quotePrefix="1" applyFont="1" applyFill="1" applyBorder="1" applyAlignment="1" applyProtection="1">
      <alignment horizontal="center" vertical="center"/>
      <protection locked="0"/>
    </xf>
    <xf numFmtId="0" fontId="47" fillId="12" borderId="15" xfId="0" applyFont="1" applyFill="1" applyBorder="1" applyAlignment="1" applyProtection="1">
      <alignment horizontal="center" vertical="center"/>
      <protection locked="0"/>
    </xf>
    <xf numFmtId="0" fontId="47" fillId="12" borderId="5" xfId="0" applyFont="1" applyFill="1" applyBorder="1" applyAlignment="1" applyProtection="1">
      <alignment horizontal="center" vertical="center"/>
      <protection locked="0"/>
    </xf>
    <xf numFmtId="0" fontId="47" fillId="0" borderId="3" xfId="0" applyFont="1" applyBorder="1" applyAlignment="1" applyProtection="1">
      <alignment horizontal="center" vertical="center"/>
      <protection locked="0"/>
    </xf>
    <xf numFmtId="0" fontId="48" fillId="0" borderId="0" xfId="0" applyFont="1" applyBorder="1" applyAlignment="1" applyProtection="1">
      <alignment vertical="center"/>
      <protection locked="0"/>
    </xf>
    <xf numFmtId="0" fontId="47" fillId="0" borderId="9" xfId="0" applyFont="1" applyBorder="1" applyAlignment="1" applyProtection="1">
      <alignment horizontal="center" vertical="center"/>
      <protection locked="0"/>
    </xf>
    <xf numFmtId="0" fontId="47" fillId="0" borderId="1" xfId="0" applyFont="1" applyFill="1" applyBorder="1" applyAlignment="1" applyProtection="1">
      <alignment horizontal="center" vertical="center"/>
      <protection locked="0"/>
    </xf>
    <xf numFmtId="0" fontId="47" fillId="0" borderId="0" xfId="0" applyFont="1" applyFill="1" applyBorder="1" applyAlignment="1" applyProtection="1">
      <alignment horizontal="center" vertical="center"/>
      <protection locked="0"/>
    </xf>
    <xf numFmtId="0" fontId="51" fillId="13" borderId="10" xfId="0" applyFont="1" applyFill="1" applyBorder="1" applyAlignment="1" applyProtection="1">
      <alignment horizontal="center" vertical="center"/>
      <protection locked="0"/>
    </xf>
    <xf numFmtId="0" fontId="47" fillId="0" borderId="2" xfId="0" applyFont="1" applyFill="1" applyBorder="1" applyAlignment="1" applyProtection="1">
      <alignment horizontal="center" vertical="center"/>
      <protection locked="0"/>
    </xf>
    <xf numFmtId="0" fontId="51" fillId="13" borderId="9" xfId="0" applyFont="1" applyFill="1" applyBorder="1" applyAlignment="1" applyProtection="1">
      <alignment horizontal="center" vertical="center"/>
      <protection locked="0"/>
    </xf>
    <xf numFmtId="0" fontId="47" fillId="14" borderId="6" xfId="0" applyFont="1" applyFill="1" applyBorder="1" applyAlignment="1" applyProtection="1">
      <alignment horizontal="center" vertical="center"/>
      <protection locked="0"/>
    </xf>
    <xf numFmtId="0" fontId="47" fillId="14" borderId="0" xfId="0" applyFont="1" applyFill="1" applyBorder="1" applyAlignment="1" applyProtection="1">
      <alignment horizontal="center" vertical="center"/>
      <protection locked="0"/>
    </xf>
    <xf numFmtId="0" fontId="48" fillId="0" borderId="7" xfId="0" applyFont="1" applyFill="1" applyBorder="1" applyAlignment="1" applyProtection="1">
      <alignment horizontal="center" vertical="center"/>
      <protection locked="0"/>
    </xf>
    <xf numFmtId="0" fontId="48" fillId="0" borderId="0" xfId="0" applyFont="1" applyBorder="1" applyAlignment="1" applyProtection="1">
      <alignment horizontal="center" vertical="center"/>
      <protection locked="0"/>
    </xf>
    <xf numFmtId="0" fontId="47" fillId="14" borderId="9" xfId="0" applyFont="1" applyFill="1" applyBorder="1" applyAlignment="1" applyProtection="1">
      <alignment horizontal="center" vertical="center"/>
      <protection locked="0"/>
    </xf>
    <xf numFmtId="0" fontId="47" fillId="14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3" xfId="0" quotePrefix="1" applyNumberFormat="1" applyFont="1" applyBorder="1" applyAlignment="1" applyProtection="1">
      <alignment horizontal="center" vertical="center"/>
      <protection locked="0"/>
    </xf>
    <xf numFmtId="0" fontId="3" fillId="0" borderId="9" xfId="0" quotePrefix="1" applyNumberFormat="1" applyFont="1" applyBorder="1" applyAlignment="1" applyProtection="1">
      <alignment horizontal="center" vertical="center"/>
      <protection locked="0"/>
    </xf>
    <xf numFmtId="0" fontId="3" fillId="0" borderId="6" xfId="0" quotePrefix="1" applyNumberFormat="1" applyFont="1" applyBorder="1" applyAlignment="1" applyProtection="1">
      <alignment horizontal="center" vertical="center"/>
      <protection locked="0"/>
    </xf>
    <xf numFmtId="0" fontId="44" fillId="0" borderId="0" xfId="0" applyFont="1" applyBorder="1" applyAlignment="1" applyProtection="1">
      <alignment horizontal="center" vertical="center"/>
    </xf>
    <xf numFmtId="0" fontId="14" fillId="2" borderId="8" xfId="0" applyNumberFormat="1" applyFont="1" applyFill="1" applyBorder="1" applyAlignment="1" applyProtection="1">
      <alignment horizontal="center" vertical="center"/>
    </xf>
    <xf numFmtId="0" fontId="21" fillId="0" borderId="2" xfId="0" quotePrefix="1" applyNumberFormat="1" applyFont="1" applyBorder="1" applyAlignment="1" applyProtection="1">
      <alignment horizontal="left" vertical="center"/>
    </xf>
    <xf numFmtId="0" fontId="44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Alignment="1" applyProtection="1">
      <alignment horizontal="center" vertical="center"/>
      <protection locked="0"/>
    </xf>
    <xf numFmtId="0" fontId="26" fillId="0" borderId="0" xfId="0" applyNumberFormat="1" applyFont="1" applyFill="1" applyBorder="1" applyAlignment="1" applyProtection="1">
      <alignment horizontal="left" vertical="center"/>
      <protection locked="0"/>
    </xf>
    <xf numFmtId="0" fontId="31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8" fillId="0" borderId="2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8" fillId="0" borderId="10" xfId="0" applyFont="1" applyBorder="1" applyAlignment="1" applyProtection="1">
      <alignment horizontal="center" vertical="center"/>
      <protection locked="0"/>
    </xf>
    <xf numFmtId="0" fontId="48" fillId="0" borderId="12" xfId="0" applyFont="1" applyBorder="1" applyAlignment="1" applyProtection="1">
      <alignment horizontal="center" vertical="center"/>
      <protection locked="0"/>
    </xf>
    <xf numFmtId="0" fontId="48" fillId="0" borderId="11" xfId="0" applyFont="1" applyBorder="1" applyAlignment="1" applyProtection="1">
      <alignment horizontal="center" vertical="center"/>
      <protection locked="0"/>
    </xf>
    <xf numFmtId="0" fontId="47" fillId="0" borderId="3" xfId="0" applyFont="1" applyBorder="1" applyAlignment="1" applyProtection="1">
      <alignment horizontal="center" vertical="center"/>
      <protection locked="0"/>
    </xf>
    <xf numFmtId="0" fontId="47" fillId="0" borderId="4" xfId="0" applyFont="1" applyBorder="1" applyAlignment="1" applyProtection="1">
      <alignment horizontal="center" vertical="center"/>
      <protection locked="0"/>
    </xf>
    <xf numFmtId="0" fontId="48" fillId="12" borderId="13" xfId="0" applyFont="1" applyFill="1" applyBorder="1" applyAlignment="1" applyProtection="1">
      <alignment horizontal="center" vertical="center"/>
      <protection locked="0"/>
    </xf>
    <xf numFmtId="0" fontId="48" fillId="12" borderId="15" xfId="0" applyFont="1" applyFill="1" applyBorder="1" applyAlignment="1" applyProtection="1">
      <alignment horizontal="center" vertical="center"/>
      <protection locked="0"/>
    </xf>
    <xf numFmtId="0" fontId="48" fillId="12" borderId="14" xfId="0" applyFont="1" applyFill="1" applyBorder="1" applyAlignment="1" applyProtection="1">
      <alignment horizontal="center" vertical="center"/>
      <protection locked="0"/>
    </xf>
    <xf numFmtId="0" fontId="48" fillId="12" borderId="8" xfId="0" applyFont="1" applyFill="1" applyBorder="1" applyAlignment="1" applyProtection="1">
      <alignment horizontal="center" vertical="center"/>
      <protection locked="0"/>
    </xf>
    <xf numFmtId="0" fontId="47" fillId="0" borderId="6" xfId="0" applyFont="1" applyBorder="1" applyAlignment="1" applyProtection="1">
      <alignment horizontal="center" vertical="center"/>
      <protection locked="0"/>
    </xf>
    <xf numFmtId="0" fontId="47" fillId="0" borderId="5" xfId="0" applyFont="1" applyBorder="1" applyAlignment="1" applyProtection="1">
      <alignment horizontal="center" vertical="center"/>
      <protection locked="0"/>
    </xf>
    <xf numFmtId="0" fontId="50" fillId="12" borderId="6" xfId="0" applyFont="1" applyFill="1" applyBorder="1" applyAlignment="1" applyProtection="1">
      <alignment horizontal="center" vertical="center"/>
      <protection locked="0"/>
    </xf>
    <xf numFmtId="0" fontId="50" fillId="12" borderId="9" xfId="0" applyFont="1" applyFill="1" applyBorder="1" applyAlignment="1" applyProtection="1">
      <alignment horizontal="center" vertical="center"/>
      <protection locked="0"/>
    </xf>
    <xf numFmtId="0" fontId="49" fillId="0" borderId="9" xfId="0" applyFont="1" applyFill="1" applyBorder="1" applyAlignment="1" applyProtection="1">
      <alignment horizontal="center" vertical="center"/>
      <protection locked="0"/>
    </xf>
    <xf numFmtId="0" fontId="49" fillId="0" borderId="7" xfId="0" applyFont="1" applyFill="1" applyBorder="1" applyAlignment="1" applyProtection="1">
      <alignment horizontal="center" vertical="center"/>
      <protection locked="0"/>
    </xf>
    <xf numFmtId="0" fontId="50" fillId="12" borderId="13" xfId="0" applyFont="1" applyFill="1" applyBorder="1" applyAlignment="1" applyProtection="1">
      <alignment horizontal="center" vertical="center"/>
      <protection locked="0"/>
    </xf>
    <xf numFmtId="0" fontId="50" fillId="12" borderId="15" xfId="0" applyFont="1" applyFill="1" applyBorder="1" applyAlignment="1" applyProtection="1">
      <alignment horizontal="center" vertical="center"/>
      <protection locked="0"/>
    </xf>
    <xf numFmtId="0" fontId="50" fillId="12" borderId="14" xfId="0" applyFont="1" applyFill="1" applyBorder="1" applyAlignment="1" applyProtection="1">
      <alignment horizontal="center" vertical="center"/>
      <protection locked="0"/>
    </xf>
    <xf numFmtId="0" fontId="1" fillId="0" borderId="4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11" borderId="5" xfId="0" applyNumberFormat="1" applyFont="1" applyFill="1" applyBorder="1" applyAlignment="1" applyProtection="1">
      <alignment horizontal="center" vertical="center"/>
      <protection locked="0"/>
    </xf>
  </cellXfs>
  <cellStyles count="1">
    <cellStyle name="Κανονικό" xfId="0" builtinId="0"/>
  </cellStyles>
  <dxfs count="6">
    <dxf>
      <font>
        <b/>
        <i val="0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L100"/>
  <sheetViews>
    <sheetView showGridLines="0" zoomScale="115" zoomScaleNormal="115" workbookViewId="0">
      <selection activeCell="B3" sqref="B3:B10"/>
    </sheetView>
  </sheetViews>
  <sheetFormatPr defaultColWidth="9.140625" defaultRowHeight="12"/>
  <cols>
    <col min="1" max="1" width="20.7109375" style="194" customWidth="1"/>
    <col min="2" max="2" width="30.7109375" style="195" customWidth="1"/>
    <col min="3" max="3" width="8.85546875" style="185" customWidth="1"/>
    <col min="4" max="4" width="5.85546875" style="225" hidden="1" customWidth="1"/>
    <col min="5" max="5" width="4.42578125" style="225" hidden="1" customWidth="1"/>
    <col min="6" max="6" width="4.42578125" style="226" hidden="1" customWidth="1"/>
    <col min="7" max="7" width="2.140625" style="188" hidden="1" customWidth="1"/>
    <col min="8" max="12" width="3.42578125" style="188" hidden="1" customWidth="1"/>
    <col min="13" max="13" width="8.85546875" style="114"/>
    <col min="14" max="14" width="12.42578125" style="114" bestFit="1" customWidth="1"/>
    <col min="15" max="16384" width="9.140625" style="114"/>
  </cols>
  <sheetData>
    <row r="1" spans="1:12" ht="18">
      <c r="A1" s="319" t="s">
        <v>81</v>
      </c>
      <c r="B1" s="319"/>
      <c r="D1" s="186" t="s">
        <v>19</v>
      </c>
      <c r="E1" s="187" t="s">
        <v>11</v>
      </c>
      <c r="F1" s="89"/>
      <c r="H1" s="189">
        <v>0</v>
      </c>
      <c r="I1" s="190" t="s">
        <v>11</v>
      </c>
      <c r="J1" s="191" t="s">
        <v>20</v>
      </c>
      <c r="K1" s="192" t="s">
        <v>23</v>
      </c>
      <c r="L1" s="193" t="s">
        <v>24</v>
      </c>
    </row>
    <row r="2" spans="1:12">
      <c r="D2" s="316" t="s">
        <v>12</v>
      </c>
      <c r="E2" s="196">
        <f>VALUE(LEFT(F2,1))</f>
        <v>3</v>
      </c>
      <c r="F2" s="197" t="s">
        <v>79</v>
      </c>
      <c r="H2" s="198">
        <f t="shared" ref="H2:H11" si="0">IF(I2="-","-",IF(I2&gt;0,H1+1,0))</f>
        <v>0</v>
      </c>
      <c r="I2" s="199">
        <f>IF(J2&gt;0,VALUE(MID($A$32,1,J2-1)),"-")</f>
        <v>0</v>
      </c>
      <c r="J2" s="200">
        <f>IF(LEN($A$32)&gt;1,FIND(" ",$A$32,1),0)</f>
        <v>2</v>
      </c>
      <c r="K2" s="201">
        <v>0</v>
      </c>
      <c r="L2" s="202">
        <v>0</v>
      </c>
    </row>
    <row r="3" spans="1:12" ht="12.75">
      <c r="A3" s="184" t="s">
        <v>3</v>
      </c>
      <c r="B3" s="203" t="s">
        <v>82</v>
      </c>
      <c r="D3" s="317"/>
      <c r="E3" s="204">
        <f>VALUE(RIGHT(F2,1))</f>
        <v>4</v>
      </c>
      <c r="F3" s="89"/>
      <c r="H3" s="198">
        <f t="shared" si="0"/>
        <v>0</v>
      </c>
      <c r="I3" s="199">
        <f t="shared" ref="I3:I10" si="1">IF(J3&gt;0,VALUE(MID($A$32,J2+1,J3-J2-1)),"-")</f>
        <v>0</v>
      </c>
      <c r="J3" s="205">
        <f t="shared" ref="J3:J33" si="2">IF(AND(J2&gt;0,LEN($A$32)&gt;J2+1),FIND(" ",$A$32,J2+1),0)</f>
        <v>4</v>
      </c>
      <c r="K3" s="206">
        <v>0</v>
      </c>
      <c r="L3" s="207">
        <v>0</v>
      </c>
    </row>
    <row r="4" spans="1:12" ht="12.75">
      <c r="A4" s="184" t="s">
        <v>4</v>
      </c>
      <c r="B4" s="208" t="s">
        <v>83</v>
      </c>
      <c r="D4" s="186" t="s">
        <v>19</v>
      </c>
      <c r="E4" s="187" t="s">
        <v>11</v>
      </c>
      <c r="F4" s="89"/>
      <c r="H4" s="198">
        <f t="shared" si="0"/>
        <v>0</v>
      </c>
      <c r="I4" s="199">
        <f t="shared" si="1"/>
        <v>0</v>
      </c>
      <c r="J4" s="205">
        <f t="shared" si="2"/>
        <v>6</v>
      </c>
      <c r="K4" s="206">
        <v>0</v>
      </c>
      <c r="L4" s="207">
        <v>0</v>
      </c>
    </row>
    <row r="5" spans="1:12" s="216" customFormat="1" ht="12.75">
      <c r="A5" s="167" t="s">
        <v>75</v>
      </c>
      <c r="B5" s="168"/>
      <c r="C5" s="31"/>
      <c r="D5" s="316" t="s">
        <v>13</v>
      </c>
      <c r="E5" s="209" t="str">
        <f>TRIM(LEFT(F5,(FIND(" ",F5,1)-1)))</f>
        <v>5</v>
      </c>
      <c r="F5" s="210" t="s">
        <v>116</v>
      </c>
      <c r="G5" s="89"/>
      <c r="H5" s="211">
        <f t="shared" si="0"/>
        <v>0</v>
      </c>
      <c r="I5" s="212">
        <f t="shared" si="1"/>
        <v>0</v>
      </c>
      <c r="J5" s="213">
        <f t="shared" si="2"/>
        <v>8</v>
      </c>
      <c r="K5" s="214">
        <v>0</v>
      </c>
      <c r="L5" s="215">
        <v>0</v>
      </c>
    </row>
    <row r="6" spans="1:12" ht="12.75">
      <c r="A6" s="184" t="s">
        <v>5</v>
      </c>
      <c r="B6" s="208" t="s">
        <v>84</v>
      </c>
      <c r="D6" s="318"/>
      <c r="E6" s="217" t="str">
        <f>TRIM(MID(F5,(FIND(" ",F5,1)),FIND(" ",F5,(FIND(" ",F5,1)+1))-(FIND(" ",F5,1))))</f>
        <v>8</v>
      </c>
      <c r="F6" s="89"/>
      <c r="H6" s="198">
        <f t="shared" si="0"/>
        <v>0</v>
      </c>
      <c r="I6" s="199">
        <f t="shared" si="1"/>
        <v>0</v>
      </c>
      <c r="J6" s="205">
        <f t="shared" si="2"/>
        <v>10</v>
      </c>
      <c r="K6" s="206">
        <v>0</v>
      </c>
      <c r="L6" s="207">
        <v>0</v>
      </c>
    </row>
    <row r="7" spans="1:12" ht="12.75">
      <c r="A7" s="184" t="s">
        <v>80</v>
      </c>
      <c r="B7" s="208" t="s">
        <v>85</v>
      </c>
      <c r="D7" s="318"/>
      <c r="E7" s="218" t="str">
        <f>TRIM(MID(F5, (FIND(" ",F5,(FIND(" ",F5,1)+1))+1), (FIND(" ",F5,(FIND(" ",F5,(FIND(" ",F5,1)+1))+1)))-(FIND(" ",F5,(FIND(" ",F5,1)+1))+1)))</f>
        <v>6</v>
      </c>
      <c r="F7" s="89"/>
      <c r="H7" s="198">
        <f t="shared" si="0"/>
        <v>0</v>
      </c>
      <c r="I7" s="199">
        <f t="shared" si="1"/>
        <v>0</v>
      </c>
      <c r="J7" s="205">
        <f t="shared" si="2"/>
        <v>12</v>
      </c>
      <c r="K7" s="206">
        <v>0</v>
      </c>
      <c r="L7" s="207">
        <v>0</v>
      </c>
    </row>
    <row r="8" spans="1:12" ht="12.75">
      <c r="A8" s="184" t="s">
        <v>0</v>
      </c>
      <c r="B8" s="219" t="s">
        <v>86</v>
      </c>
      <c r="D8" s="317"/>
      <c r="E8" s="204" t="str">
        <f>TRIM(RIGHT(F5,LEN(F5)-(FIND(" ",F5,(FIND(" ",F5,(FIND(" ",F5,1)+1))+1)))))</f>
        <v>7</v>
      </c>
      <c r="F8" s="89"/>
      <c r="H8" s="198">
        <f t="shared" si="0"/>
        <v>0</v>
      </c>
      <c r="I8" s="199">
        <f t="shared" si="1"/>
        <v>0</v>
      </c>
      <c r="J8" s="205">
        <f t="shared" si="2"/>
        <v>14</v>
      </c>
      <c r="K8" s="206">
        <v>0</v>
      </c>
      <c r="L8" s="207">
        <v>0</v>
      </c>
    </row>
    <row r="9" spans="1:12" ht="12.75">
      <c r="A9" s="184" t="s">
        <v>1</v>
      </c>
      <c r="B9" s="219" t="s">
        <v>87</v>
      </c>
      <c r="C9" s="114"/>
      <c r="D9" s="220"/>
      <c r="E9" s="220"/>
      <c r="F9" s="89"/>
      <c r="H9" s="198">
        <f t="shared" si="0"/>
        <v>0</v>
      </c>
      <c r="I9" s="199">
        <f t="shared" si="1"/>
        <v>0</v>
      </c>
      <c r="J9" s="205">
        <f t="shared" si="2"/>
        <v>16</v>
      </c>
      <c r="K9" s="206">
        <v>0</v>
      </c>
      <c r="L9" s="207">
        <v>0</v>
      </c>
    </row>
    <row r="10" spans="1:12" ht="12.75">
      <c r="A10" s="184" t="s">
        <v>2</v>
      </c>
      <c r="B10" s="208" t="s">
        <v>88</v>
      </c>
      <c r="C10" s="114"/>
      <c r="D10" s="221"/>
      <c r="E10" s="221"/>
      <c r="F10" s="89"/>
      <c r="H10" s="198">
        <f t="shared" si="0"/>
        <v>0</v>
      </c>
      <c r="I10" s="199">
        <f t="shared" si="1"/>
        <v>0</v>
      </c>
      <c r="J10" s="205">
        <f t="shared" si="2"/>
        <v>18</v>
      </c>
      <c r="K10" s="206">
        <v>0</v>
      </c>
      <c r="L10" s="207">
        <v>0</v>
      </c>
    </row>
    <row r="11" spans="1:12" ht="12.75">
      <c r="A11" s="184" t="s">
        <v>18</v>
      </c>
      <c r="B11" s="222"/>
      <c r="C11" s="114"/>
      <c r="D11" s="221"/>
      <c r="E11" s="220"/>
      <c r="F11" s="89"/>
      <c r="H11" s="198">
        <f t="shared" si="0"/>
        <v>0</v>
      </c>
      <c r="I11" s="199">
        <f t="shared" ref="I11:I33" si="3">IF(J11&gt;0,VALUE(MID($A$32,J10+1,J11-J10-1)),"-")</f>
        <v>0</v>
      </c>
      <c r="J11" s="205">
        <f t="shared" si="2"/>
        <v>20</v>
      </c>
      <c r="K11" s="206">
        <v>0</v>
      </c>
      <c r="L11" s="207">
        <v>0</v>
      </c>
    </row>
    <row r="12" spans="1:12">
      <c r="A12" s="184"/>
      <c r="B12" s="114"/>
      <c r="C12" s="114"/>
      <c r="D12" s="223"/>
      <c r="E12" s="223"/>
      <c r="F12" s="188"/>
      <c r="H12" s="198">
        <f t="shared" ref="H12:H33" si="4">IF(I12="-","-",IF(I12&gt;0,H11+1,0))</f>
        <v>0</v>
      </c>
      <c r="I12" s="199">
        <f t="shared" si="3"/>
        <v>0</v>
      </c>
      <c r="J12" s="200">
        <f t="shared" si="2"/>
        <v>22</v>
      </c>
      <c r="K12" s="206">
        <v>0</v>
      </c>
      <c r="L12" s="207">
        <v>0</v>
      </c>
    </row>
    <row r="13" spans="1:12">
      <c r="A13" s="184"/>
      <c r="C13" s="114"/>
      <c r="D13" s="223"/>
      <c r="E13" s="223"/>
      <c r="F13" s="188"/>
      <c r="H13" s="198">
        <f t="shared" si="4"/>
        <v>0</v>
      </c>
      <c r="I13" s="199">
        <f t="shared" si="3"/>
        <v>0</v>
      </c>
      <c r="J13" s="200">
        <f t="shared" si="2"/>
        <v>24</v>
      </c>
      <c r="K13" s="206">
        <v>0</v>
      </c>
      <c r="L13" s="207">
        <v>0</v>
      </c>
    </row>
    <row r="14" spans="1:12">
      <c r="A14" s="184"/>
      <c r="C14" s="114"/>
      <c r="D14" s="223"/>
      <c r="E14" s="223"/>
      <c r="F14" s="188"/>
      <c r="H14" s="198">
        <f t="shared" si="4"/>
        <v>0</v>
      </c>
      <c r="I14" s="199">
        <f t="shared" si="3"/>
        <v>0</v>
      </c>
      <c r="J14" s="200">
        <f t="shared" si="2"/>
        <v>26</v>
      </c>
      <c r="K14" s="206">
        <v>0</v>
      </c>
      <c r="L14" s="207">
        <v>0</v>
      </c>
    </row>
    <row r="15" spans="1:12">
      <c r="A15" s="184"/>
      <c r="C15" s="114"/>
      <c r="D15" s="223"/>
      <c r="E15" s="223"/>
      <c r="F15" s="188"/>
      <c r="H15" s="198">
        <f t="shared" si="4"/>
        <v>0</v>
      </c>
      <c r="I15" s="199">
        <f t="shared" si="3"/>
        <v>0</v>
      </c>
      <c r="J15" s="200">
        <f t="shared" si="2"/>
        <v>28</v>
      </c>
      <c r="K15" s="206">
        <v>0</v>
      </c>
      <c r="L15" s="207">
        <v>0</v>
      </c>
    </row>
    <row r="16" spans="1:12">
      <c r="A16" s="184"/>
      <c r="C16" s="114"/>
      <c r="D16" s="223"/>
      <c r="E16" s="223"/>
      <c r="F16" s="188"/>
      <c r="H16" s="198">
        <f t="shared" si="4"/>
        <v>0</v>
      </c>
      <c r="I16" s="199">
        <f t="shared" si="3"/>
        <v>0</v>
      </c>
      <c r="J16" s="200">
        <f t="shared" si="2"/>
        <v>30</v>
      </c>
      <c r="K16" s="206">
        <v>0</v>
      </c>
      <c r="L16" s="207">
        <v>0</v>
      </c>
    </row>
    <row r="17" spans="1:12" ht="12.75">
      <c r="A17" s="169" t="s">
        <v>76</v>
      </c>
      <c r="B17" s="230" t="str">
        <f>"("&amp;COUNTBLANK(DrawPrep!D3:D34)&amp;")"</f>
        <v>(15)</v>
      </c>
      <c r="C17" s="114"/>
      <c r="D17" s="223"/>
      <c r="E17" s="223"/>
      <c r="F17" s="188"/>
      <c r="H17" s="198">
        <f t="shared" si="4"/>
        <v>1</v>
      </c>
      <c r="I17" s="199">
        <f t="shared" si="3"/>
        <v>1</v>
      </c>
      <c r="J17" s="205">
        <f t="shared" si="2"/>
        <v>32</v>
      </c>
      <c r="K17" s="206">
        <v>1</v>
      </c>
      <c r="L17" s="207">
        <v>1</v>
      </c>
    </row>
    <row r="18" spans="1:12" ht="12.75">
      <c r="A18" s="227" t="s">
        <v>27</v>
      </c>
      <c r="B18" s="208">
        <f>COUNTBLANK(DrawPrep!D3:D34)</f>
        <v>15</v>
      </c>
      <c r="C18" s="114"/>
      <c r="D18" s="223"/>
      <c r="E18" s="223"/>
      <c r="F18" s="188"/>
      <c r="H18" s="198">
        <f t="shared" si="4"/>
        <v>2</v>
      </c>
      <c r="I18" s="199">
        <f t="shared" si="3"/>
        <v>2</v>
      </c>
      <c r="J18" s="205">
        <f t="shared" si="2"/>
        <v>34</v>
      </c>
      <c r="K18" s="206">
        <v>2</v>
      </c>
      <c r="L18" s="207">
        <v>2</v>
      </c>
    </row>
    <row r="19" spans="1:12" ht="12.75">
      <c r="A19" s="228" t="s">
        <v>32</v>
      </c>
      <c r="B19" s="222">
        <v>8</v>
      </c>
      <c r="C19" s="114"/>
      <c r="D19" s="223"/>
      <c r="E19" s="223"/>
      <c r="F19" s="188"/>
      <c r="H19" s="198">
        <f t="shared" si="4"/>
        <v>3</v>
      </c>
      <c r="I19" s="199">
        <f t="shared" si="3"/>
        <v>3</v>
      </c>
      <c r="J19" s="205">
        <f t="shared" si="2"/>
        <v>36</v>
      </c>
      <c r="K19" s="206">
        <v>3</v>
      </c>
      <c r="L19" s="207">
        <v>3</v>
      </c>
    </row>
    <row r="20" spans="1:12" s="216" customFormat="1" ht="11.25">
      <c r="A20" s="229"/>
      <c r="B20" s="231"/>
      <c r="D20" s="232"/>
      <c r="E20" s="232"/>
      <c r="F20" s="89"/>
      <c r="G20" s="89"/>
      <c r="H20" s="211">
        <f t="shared" si="4"/>
        <v>4</v>
      </c>
      <c r="I20" s="212">
        <f t="shared" si="3"/>
        <v>4</v>
      </c>
      <c r="J20" s="213">
        <f t="shared" si="2"/>
        <v>38</v>
      </c>
      <c r="K20" s="214">
        <v>4</v>
      </c>
      <c r="L20" s="215">
        <v>4</v>
      </c>
    </row>
    <row r="21" spans="1:12" s="216" customFormat="1" ht="11.25">
      <c r="A21" s="229"/>
      <c r="B21" s="224"/>
      <c r="D21" s="232"/>
      <c r="E21" s="232"/>
      <c r="F21" s="89"/>
      <c r="G21" s="89"/>
      <c r="H21" s="211">
        <f t="shared" si="4"/>
        <v>5</v>
      </c>
      <c r="I21" s="212">
        <f t="shared" si="3"/>
        <v>5</v>
      </c>
      <c r="J21" s="213">
        <f t="shared" si="2"/>
        <v>40</v>
      </c>
      <c r="K21" s="214">
        <v>5</v>
      </c>
      <c r="L21" s="215">
        <v>5</v>
      </c>
    </row>
    <row r="22" spans="1:12" s="216" customFormat="1" ht="11.25">
      <c r="A22" s="233"/>
      <c r="B22" s="224"/>
      <c r="D22" s="232"/>
      <c r="E22" s="232"/>
      <c r="F22" s="89"/>
      <c r="G22" s="89"/>
      <c r="H22" s="211">
        <f t="shared" si="4"/>
        <v>6</v>
      </c>
      <c r="I22" s="212">
        <f t="shared" si="3"/>
        <v>6</v>
      </c>
      <c r="J22" s="213">
        <f t="shared" si="2"/>
        <v>42</v>
      </c>
      <c r="K22" s="214">
        <v>6</v>
      </c>
      <c r="L22" s="215">
        <v>6</v>
      </c>
    </row>
    <row r="23" spans="1:12" s="216" customFormat="1" ht="11.25">
      <c r="A23" s="229"/>
      <c r="B23" s="231"/>
      <c r="D23" s="232"/>
      <c r="E23" s="232"/>
      <c r="F23" s="89"/>
      <c r="G23" s="89"/>
      <c r="H23" s="211">
        <f t="shared" si="4"/>
        <v>7</v>
      </c>
      <c r="I23" s="212">
        <f t="shared" si="3"/>
        <v>7</v>
      </c>
      <c r="J23" s="213">
        <f t="shared" si="2"/>
        <v>44</v>
      </c>
      <c r="K23" s="214">
        <v>7</v>
      </c>
      <c r="L23" s="215">
        <v>7</v>
      </c>
    </row>
    <row r="24" spans="1:12" s="216" customFormat="1">
      <c r="A24" s="184" t="s">
        <v>52</v>
      </c>
      <c r="B24" s="195" t="s">
        <v>115</v>
      </c>
      <c r="D24" s="232"/>
      <c r="E24" s="232"/>
      <c r="F24" s="89"/>
      <c r="G24" s="89"/>
      <c r="H24" s="211">
        <f t="shared" si="4"/>
        <v>8</v>
      </c>
      <c r="I24" s="212">
        <f t="shared" si="3"/>
        <v>8</v>
      </c>
      <c r="J24" s="213">
        <f t="shared" si="2"/>
        <v>46</v>
      </c>
      <c r="K24" s="214">
        <v>8</v>
      </c>
      <c r="L24" s="215">
        <v>8</v>
      </c>
    </row>
    <row r="25" spans="1:12" s="216" customFormat="1" ht="11.25">
      <c r="B25" s="231"/>
      <c r="D25" s="232"/>
      <c r="E25" s="232"/>
      <c r="F25" s="89"/>
      <c r="G25" s="89"/>
      <c r="H25" s="211">
        <f t="shared" si="4"/>
        <v>9</v>
      </c>
      <c r="I25" s="212">
        <f t="shared" si="3"/>
        <v>10</v>
      </c>
      <c r="J25" s="213">
        <f t="shared" si="2"/>
        <v>49</v>
      </c>
      <c r="K25" s="214">
        <v>9</v>
      </c>
      <c r="L25" s="215">
        <v>10</v>
      </c>
    </row>
    <row r="26" spans="1:12" s="216" customFormat="1" ht="11.25" hidden="1">
      <c r="A26" s="234" t="e">
        <f ca="1">RandUniq(3,4,2)</f>
        <v>#NAME?</v>
      </c>
      <c r="B26" s="231"/>
      <c r="D26" s="232"/>
      <c r="E26" s="232"/>
      <c r="F26" s="89"/>
      <c r="G26" s="89"/>
      <c r="H26" s="211">
        <f t="shared" si="4"/>
        <v>10</v>
      </c>
      <c r="I26" s="212">
        <f t="shared" si="3"/>
        <v>15</v>
      </c>
      <c r="J26" s="213">
        <f t="shared" si="2"/>
        <v>52</v>
      </c>
      <c r="K26" s="214">
        <v>10</v>
      </c>
      <c r="L26" s="215">
        <v>15</v>
      </c>
    </row>
    <row r="27" spans="1:12" s="216" customFormat="1" ht="11.25" hidden="1">
      <c r="A27" s="234" t="e">
        <f ca="1">RandUniq(5,8,4)</f>
        <v>#NAME?</v>
      </c>
      <c r="D27" s="232"/>
      <c r="E27" s="232"/>
      <c r="F27" s="89"/>
      <c r="G27" s="89"/>
      <c r="H27" s="211">
        <f t="shared" si="4"/>
        <v>11</v>
      </c>
      <c r="I27" s="212">
        <f t="shared" si="3"/>
        <v>11</v>
      </c>
      <c r="J27" s="213">
        <f t="shared" si="2"/>
        <v>55</v>
      </c>
      <c r="K27" s="214">
        <v>11</v>
      </c>
      <c r="L27" s="215">
        <v>11</v>
      </c>
    </row>
    <row r="28" spans="1:12" s="216" customFormat="1" ht="11.25" hidden="1">
      <c r="A28" s="234"/>
      <c r="D28" s="232"/>
      <c r="E28" s="232"/>
      <c r="F28" s="89"/>
      <c r="G28" s="89"/>
      <c r="H28" s="211">
        <f t="shared" si="4"/>
        <v>12</v>
      </c>
      <c r="I28" s="212">
        <f t="shared" si="3"/>
        <v>16</v>
      </c>
      <c r="J28" s="213">
        <f t="shared" si="2"/>
        <v>58</v>
      </c>
      <c r="K28" s="214">
        <v>12</v>
      </c>
      <c r="L28" s="215">
        <v>16</v>
      </c>
    </row>
    <row r="29" spans="1:12" s="216" customFormat="1" ht="11.25" hidden="1">
      <c r="A29" s="234" t="e">
        <f ca="1">CONCATENATE(LEFT($A$34,$B$18*2),LEFT($A$33,$B$19*2),RandUniq($B$19+1,32-$B$18,32-$B$19-$B$18)," ")</f>
        <v>#NAME?</v>
      </c>
      <c r="D29" s="232"/>
      <c r="E29" s="232"/>
      <c r="F29" s="89"/>
      <c r="G29" s="89" t="s">
        <v>22</v>
      </c>
      <c r="H29" s="211">
        <f t="shared" si="4"/>
        <v>13</v>
      </c>
      <c r="I29" s="212">
        <f t="shared" si="3"/>
        <v>9</v>
      </c>
      <c r="J29" s="213">
        <f t="shared" si="2"/>
        <v>60</v>
      </c>
      <c r="K29" s="214">
        <v>13</v>
      </c>
      <c r="L29" s="215">
        <v>9</v>
      </c>
    </row>
    <row r="30" spans="1:12" s="216" customFormat="1" ht="11.25" hidden="1">
      <c r="A30" s="234"/>
      <c r="D30" s="232"/>
      <c r="E30" s="232"/>
      <c r="F30" s="89"/>
      <c r="G30" s="89"/>
      <c r="H30" s="211">
        <f t="shared" si="4"/>
        <v>14</v>
      </c>
      <c r="I30" s="212">
        <f t="shared" si="3"/>
        <v>14</v>
      </c>
      <c r="J30" s="213">
        <f t="shared" si="2"/>
        <v>63</v>
      </c>
      <c r="K30" s="214">
        <v>14</v>
      </c>
      <c r="L30" s="215">
        <v>14</v>
      </c>
    </row>
    <row r="31" spans="1:12" s="216" customFormat="1" ht="11.25" hidden="1">
      <c r="C31" s="216" t="s">
        <v>22</v>
      </c>
      <c r="D31" s="232"/>
      <c r="E31" s="232"/>
      <c r="F31" s="89"/>
      <c r="G31" s="89"/>
      <c r="H31" s="211">
        <f t="shared" si="4"/>
        <v>15</v>
      </c>
      <c r="I31" s="212">
        <f t="shared" si="3"/>
        <v>17</v>
      </c>
      <c r="J31" s="213">
        <f t="shared" si="2"/>
        <v>66</v>
      </c>
      <c r="K31" s="214">
        <v>15</v>
      </c>
      <c r="L31" s="215">
        <v>17</v>
      </c>
    </row>
    <row r="32" spans="1:12" s="216" customFormat="1" ht="11.25" hidden="1">
      <c r="A32" s="235" t="s">
        <v>117</v>
      </c>
      <c r="B32" s="236"/>
      <c r="C32" s="237"/>
      <c r="D32" s="89"/>
      <c r="E32" s="89"/>
      <c r="F32" s="89"/>
      <c r="G32" s="89"/>
      <c r="H32" s="211">
        <f t="shared" si="4"/>
        <v>16</v>
      </c>
      <c r="I32" s="212">
        <f t="shared" si="3"/>
        <v>13</v>
      </c>
      <c r="J32" s="213">
        <f t="shared" si="2"/>
        <v>69</v>
      </c>
      <c r="K32" s="214">
        <v>16</v>
      </c>
      <c r="L32" s="215">
        <v>13</v>
      </c>
    </row>
    <row r="33" spans="1:12" s="216" customFormat="1" ht="11.25" hidden="1">
      <c r="A33" s="161" t="s">
        <v>33</v>
      </c>
      <c r="D33" s="232"/>
      <c r="E33" s="232"/>
      <c r="F33" s="89"/>
      <c r="G33" s="89"/>
      <c r="H33" s="238">
        <f t="shared" si="4"/>
        <v>17</v>
      </c>
      <c r="I33" s="239">
        <f t="shared" si="3"/>
        <v>12</v>
      </c>
      <c r="J33" s="240">
        <f t="shared" si="2"/>
        <v>72</v>
      </c>
      <c r="K33" s="241">
        <v>17</v>
      </c>
      <c r="L33" s="242">
        <v>12</v>
      </c>
    </row>
    <row r="34" spans="1:12" s="216" customFormat="1" ht="11.25" hidden="1">
      <c r="A34" s="231" t="s">
        <v>47</v>
      </c>
      <c r="D34" s="232"/>
      <c r="E34" s="232"/>
      <c r="F34" s="89"/>
      <c r="G34" s="89"/>
      <c r="H34" s="89"/>
      <c r="I34" s="89"/>
      <c r="J34" s="89"/>
      <c r="K34" s="89"/>
      <c r="L34" s="89"/>
    </row>
    <row r="35" spans="1:12" s="216" customFormat="1" ht="11.25">
      <c r="A35" s="243"/>
      <c r="B35" s="231"/>
      <c r="D35" s="232"/>
      <c r="E35" s="232"/>
      <c r="F35" s="89"/>
      <c r="G35" s="89"/>
      <c r="H35" s="89"/>
      <c r="I35" s="89"/>
      <c r="J35" s="89"/>
      <c r="K35" s="89"/>
      <c r="L35" s="89"/>
    </row>
    <row r="36" spans="1:12" s="216" customFormat="1" ht="11.25">
      <c r="A36" s="243"/>
      <c r="B36" s="231"/>
      <c r="D36" s="232"/>
      <c r="E36" s="232"/>
      <c r="F36" s="89"/>
      <c r="G36" s="89"/>
      <c r="H36" s="89"/>
      <c r="I36" s="89"/>
      <c r="J36" s="89"/>
      <c r="K36" s="89"/>
      <c r="L36" s="89"/>
    </row>
    <row r="37" spans="1:12" s="216" customFormat="1" ht="11.25">
      <c r="A37" s="244"/>
      <c r="B37" s="245"/>
      <c r="D37" s="232"/>
      <c r="E37" s="232"/>
      <c r="F37" s="89"/>
      <c r="G37" s="89"/>
      <c r="H37" s="89"/>
      <c r="I37" s="89"/>
      <c r="J37" s="89"/>
      <c r="K37" s="89"/>
      <c r="L37" s="89"/>
    </row>
    <row r="38" spans="1:12" s="216" customFormat="1" ht="11.25">
      <c r="A38" s="246"/>
      <c r="B38" s="247"/>
      <c r="D38" s="232"/>
      <c r="E38" s="232"/>
      <c r="F38" s="89"/>
      <c r="G38" s="89"/>
      <c r="H38" s="89"/>
      <c r="I38" s="89"/>
      <c r="J38" s="89"/>
      <c r="K38" s="89"/>
      <c r="L38" s="89"/>
    </row>
    <row r="39" spans="1:12" s="216" customFormat="1" ht="11.25">
      <c r="A39" s="246"/>
      <c r="B39" s="247"/>
      <c r="D39" s="232"/>
      <c r="E39" s="232"/>
      <c r="F39" s="89"/>
      <c r="G39" s="89"/>
      <c r="H39" s="89"/>
      <c r="I39" s="89"/>
      <c r="J39" s="89"/>
      <c r="K39" s="89"/>
      <c r="L39" s="89"/>
    </row>
    <row r="40" spans="1:12" s="216" customFormat="1" ht="11.25">
      <c r="A40" s="246"/>
      <c r="B40" s="231"/>
      <c r="D40" s="232"/>
      <c r="E40" s="232"/>
      <c r="F40" s="89"/>
      <c r="G40" s="89"/>
      <c r="H40" s="89"/>
      <c r="I40" s="89"/>
      <c r="J40" s="89"/>
      <c r="K40" s="89"/>
      <c r="L40" s="89"/>
    </row>
    <row r="41" spans="1:12" s="216" customFormat="1" ht="11.25">
      <c r="A41" s="246"/>
      <c r="B41" s="231"/>
      <c r="D41" s="158"/>
      <c r="E41" s="158"/>
      <c r="F41" s="226"/>
      <c r="G41" s="89"/>
      <c r="H41" s="89"/>
      <c r="I41" s="89"/>
      <c r="J41" s="89"/>
      <c r="K41" s="89"/>
      <c r="L41" s="89"/>
    </row>
    <row r="42" spans="1:12" s="216" customFormat="1" ht="11.25">
      <c r="A42" s="246"/>
      <c r="B42" s="231"/>
      <c r="D42" s="158"/>
      <c r="E42" s="158"/>
      <c r="F42" s="226"/>
      <c r="G42" s="89"/>
      <c r="H42" s="89"/>
      <c r="I42" s="89"/>
      <c r="J42" s="89"/>
      <c r="K42" s="89"/>
      <c r="L42" s="89"/>
    </row>
    <row r="43" spans="1:12" s="216" customFormat="1" ht="11.25">
      <c r="A43" s="246"/>
      <c r="B43" s="231"/>
      <c r="D43" s="158"/>
      <c r="E43" s="158"/>
      <c r="F43" s="226"/>
      <c r="G43" s="89"/>
      <c r="H43" s="89"/>
      <c r="I43" s="89"/>
      <c r="J43" s="89"/>
      <c r="K43" s="89"/>
      <c r="L43" s="89"/>
    </row>
    <row r="44" spans="1:12" s="216" customFormat="1" ht="11.25">
      <c r="A44" s="246"/>
      <c r="B44" s="231"/>
      <c r="D44" s="158"/>
      <c r="E44" s="158"/>
      <c r="F44" s="226"/>
      <c r="G44" s="89"/>
      <c r="H44" s="89"/>
      <c r="I44" s="89"/>
      <c r="J44" s="89"/>
      <c r="K44" s="89"/>
      <c r="L44" s="89"/>
    </row>
    <row r="45" spans="1:12" s="216" customFormat="1" ht="11.25">
      <c r="A45" s="248"/>
      <c r="B45" s="231"/>
      <c r="D45" s="158"/>
      <c r="E45" s="158"/>
      <c r="F45" s="226"/>
      <c r="G45" s="89"/>
      <c r="H45" s="89"/>
      <c r="I45" s="89"/>
      <c r="J45" s="89"/>
      <c r="K45" s="89"/>
      <c r="L45" s="89"/>
    </row>
    <row r="46" spans="1:12" s="216" customFormat="1" ht="11.25">
      <c r="A46" s="246"/>
      <c r="B46" s="231"/>
      <c r="D46" s="158"/>
      <c r="E46" s="158"/>
      <c r="F46" s="226"/>
      <c r="G46" s="89"/>
      <c r="H46" s="89"/>
      <c r="I46" s="89"/>
      <c r="J46" s="89"/>
      <c r="K46" s="89"/>
      <c r="L46" s="89"/>
    </row>
    <row r="47" spans="1:12" s="216" customFormat="1" ht="11.25">
      <c r="A47" s="246"/>
      <c r="B47" s="231"/>
      <c r="D47" s="158"/>
      <c r="E47" s="158"/>
      <c r="F47" s="226"/>
      <c r="G47" s="89"/>
      <c r="H47" s="89"/>
      <c r="I47" s="89"/>
      <c r="J47" s="89"/>
      <c r="K47" s="89"/>
      <c r="L47" s="89"/>
    </row>
    <row r="48" spans="1:12" s="216" customFormat="1" ht="11.25">
      <c r="A48" s="246"/>
      <c r="B48" s="231"/>
      <c r="C48" s="249"/>
      <c r="D48" s="226"/>
      <c r="E48" s="250"/>
      <c r="F48" s="226"/>
      <c r="G48" s="89"/>
      <c r="H48" s="89"/>
      <c r="I48" s="89"/>
      <c r="J48" s="89"/>
      <c r="K48" s="89"/>
      <c r="L48" s="89"/>
    </row>
    <row r="49" spans="1:12" s="216" customFormat="1" ht="11.25">
      <c r="A49" s="246"/>
      <c r="B49" s="231"/>
      <c r="C49" s="249"/>
      <c r="D49" s="226"/>
      <c r="E49" s="250"/>
      <c r="F49" s="226"/>
      <c r="G49" s="89"/>
      <c r="H49" s="89"/>
      <c r="I49" s="89"/>
      <c r="J49" s="89"/>
      <c r="K49" s="89"/>
      <c r="L49" s="89"/>
    </row>
    <row r="50" spans="1:12" s="216" customFormat="1" ht="11.25">
      <c r="A50" s="246"/>
      <c r="B50" s="231"/>
      <c r="C50" s="249"/>
      <c r="D50" s="226"/>
      <c r="E50" s="250"/>
      <c r="F50" s="226"/>
      <c r="G50" s="89"/>
      <c r="H50" s="89"/>
      <c r="I50" s="89"/>
      <c r="J50" s="89"/>
      <c r="K50" s="89"/>
      <c r="L50" s="89"/>
    </row>
    <row r="51" spans="1:12" s="216" customFormat="1" ht="11.25">
      <c r="A51" s="246"/>
      <c r="B51" s="231"/>
      <c r="C51" s="249"/>
      <c r="D51" s="226"/>
      <c r="E51" s="250"/>
      <c r="F51" s="226"/>
      <c r="G51" s="89"/>
      <c r="H51" s="89"/>
      <c r="I51" s="89"/>
      <c r="J51" s="89"/>
      <c r="K51" s="89"/>
      <c r="L51" s="89"/>
    </row>
    <row r="52" spans="1:12" s="216" customFormat="1" ht="11.25">
      <c r="A52" s="246"/>
      <c r="B52" s="231"/>
      <c r="C52" s="249"/>
      <c r="D52" s="226"/>
      <c r="E52" s="250"/>
      <c r="F52" s="226"/>
      <c r="G52" s="89"/>
      <c r="H52" s="89"/>
      <c r="I52" s="89"/>
      <c r="J52" s="89"/>
      <c r="K52" s="89"/>
      <c r="L52" s="89"/>
    </row>
    <row r="53" spans="1:12" s="216" customFormat="1" ht="11.25">
      <c r="A53" s="246"/>
      <c r="B53" s="231"/>
      <c r="C53" s="249"/>
      <c r="D53" s="226"/>
      <c r="E53" s="250"/>
      <c r="F53" s="226"/>
      <c r="G53" s="89"/>
      <c r="H53" s="89"/>
      <c r="I53" s="89"/>
      <c r="J53" s="89"/>
      <c r="K53" s="89"/>
      <c r="L53" s="89"/>
    </row>
    <row r="54" spans="1:12" s="216" customFormat="1" ht="11.25">
      <c r="A54" s="246"/>
      <c r="B54" s="231"/>
      <c r="C54" s="249"/>
      <c r="D54" s="226"/>
      <c r="E54" s="250"/>
      <c r="F54" s="226"/>
      <c r="G54" s="89"/>
      <c r="H54" s="89"/>
      <c r="I54" s="89"/>
      <c r="J54" s="89"/>
      <c r="K54" s="89"/>
      <c r="L54" s="89"/>
    </row>
    <row r="55" spans="1:12" s="216" customFormat="1" ht="11.25">
      <c r="A55" s="246"/>
      <c r="B55" s="231"/>
      <c r="C55" s="249"/>
      <c r="D55" s="226"/>
      <c r="E55" s="250"/>
      <c r="F55" s="226"/>
      <c r="G55" s="89"/>
      <c r="H55" s="89"/>
      <c r="I55" s="89"/>
      <c r="J55" s="89"/>
      <c r="K55" s="89"/>
      <c r="L55" s="89"/>
    </row>
    <row r="56" spans="1:12" s="216" customFormat="1" ht="11.25">
      <c r="A56" s="246"/>
      <c r="B56" s="231"/>
      <c r="C56" s="249"/>
      <c r="D56" s="226"/>
      <c r="E56" s="250"/>
      <c r="F56" s="226"/>
      <c r="G56" s="89"/>
      <c r="H56" s="89"/>
      <c r="I56" s="89"/>
      <c r="J56" s="89"/>
      <c r="K56" s="89"/>
      <c r="L56" s="89"/>
    </row>
    <row r="57" spans="1:12" s="216" customFormat="1" ht="11.25">
      <c r="A57" s="246"/>
      <c r="B57" s="231"/>
      <c r="C57" s="249"/>
      <c r="D57" s="226"/>
      <c r="E57" s="250"/>
      <c r="F57" s="226"/>
      <c r="G57" s="89"/>
      <c r="H57" s="89"/>
      <c r="I57" s="89"/>
      <c r="J57" s="89"/>
      <c r="K57" s="89"/>
      <c r="L57" s="89"/>
    </row>
    <row r="58" spans="1:12" s="216" customFormat="1" ht="11.25">
      <c r="A58" s="246"/>
      <c r="B58" s="231"/>
      <c r="C58" s="249"/>
      <c r="D58" s="226"/>
      <c r="E58" s="250"/>
      <c r="F58" s="226"/>
      <c r="G58" s="89"/>
      <c r="H58" s="89"/>
      <c r="I58" s="89"/>
      <c r="J58" s="89"/>
      <c r="K58" s="89"/>
      <c r="L58" s="89"/>
    </row>
    <row r="59" spans="1:12" s="216" customFormat="1" ht="11.25">
      <c r="A59" s="246"/>
      <c r="B59" s="231"/>
      <c r="C59" s="249"/>
      <c r="D59" s="226"/>
      <c r="E59" s="250"/>
      <c r="F59" s="226"/>
      <c r="G59" s="89"/>
      <c r="H59" s="89"/>
      <c r="I59" s="89"/>
      <c r="J59" s="89"/>
      <c r="K59" s="89"/>
      <c r="L59" s="89"/>
    </row>
    <row r="60" spans="1:12" s="216" customFormat="1" ht="11.25">
      <c r="A60" s="246"/>
      <c r="B60" s="231"/>
      <c r="C60" s="249"/>
      <c r="D60" s="226"/>
      <c r="E60" s="250"/>
      <c r="F60" s="226"/>
      <c r="G60" s="89"/>
      <c r="H60" s="89"/>
      <c r="I60" s="89"/>
      <c r="J60" s="89"/>
      <c r="K60" s="89"/>
      <c r="L60" s="89"/>
    </row>
    <row r="61" spans="1:12" s="216" customFormat="1" ht="11.25">
      <c r="A61" s="246"/>
      <c r="B61" s="231"/>
      <c r="C61" s="249"/>
      <c r="D61" s="226"/>
      <c r="E61" s="250"/>
      <c r="F61" s="226"/>
      <c r="G61" s="89"/>
      <c r="H61" s="89"/>
      <c r="I61" s="89"/>
      <c r="J61" s="89"/>
      <c r="K61" s="89"/>
      <c r="L61" s="89"/>
    </row>
    <row r="62" spans="1:12" s="216" customFormat="1" ht="11.25">
      <c r="A62" s="246"/>
      <c r="B62" s="231"/>
      <c r="C62" s="249"/>
      <c r="D62" s="226"/>
      <c r="E62" s="250"/>
      <c r="F62" s="226"/>
      <c r="G62" s="89"/>
      <c r="H62" s="89"/>
      <c r="I62" s="89"/>
      <c r="J62" s="89"/>
      <c r="K62" s="89"/>
      <c r="L62" s="89"/>
    </row>
    <row r="63" spans="1:12" s="216" customFormat="1" ht="11.25">
      <c r="A63" s="246"/>
      <c r="B63" s="231"/>
      <c r="C63" s="249"/>
      <c r="D63" s="226"/>
      <c r="E63" s="250"/>
      <c r="F63" s="226"/>
      <c r="G63" s="89"/>
      <c r="H63" s="89"/>
      <c r="I63" s="89"/>
      <c r="J63" s="89"/>
      <c r="K63" s="89"/>
      <c r="L63" s="89"/>
    </row>
    <row r="64" spans="1:12" s="216" customFormat="1" ht="11.25">
      <c r="A64" s="246"/>
      <c r="B64" s="231"/>
      <c r="C64" s="249"/>
      <c r="D64" s="226"/>
      <c r="E64" s="250"/>
      <c r="F64" s="226"/>
      <c r="G64" s="89"/>
      <c r="H64" s="89"/>
      <c r="I64" s="89"/>
      <c r="J64" s="89"/>
      <c r="K64" s="89"/>
      <c r="L64" s="89"/>
    </row>
    <row r="65" spans="1:12" s="216" customFormat="1" ht="11.25">
      <c r="A65" s="246"/>
      <c r="B65" s="231"/>
      <c r="C65" s="249"/>
      <c r="D65" s="226"/>
      <c r="E65" s="250"/>
      <c r="F65" s="226"/>
      <c r="G65" s="89"/>
      <c r="H65" s="89"/>
      <c r="I65" s="89"/>
      <c r="J65" s="89"/>
      <c r="K65" s="89"/>
      <c r="L65" s="89"/>
    </row>
    <row r="66" spans="1:12" s="216" customFormat="1" ht="11.25">
      <c r="A66" s="246"/>
      <c r="B66" s="231"/>
      <c r="C66" s="249"/>
      <c r="D66" s="226"/>
      <c r="E66" s="250"/>
      <c r="F66" s="226"/>
      <c r="G66" s="89"/>
      <c r="H66" s="89"/>
      <c r="I66" s="89"/>
      <c r="J66" s="89"/>
      <c r="K66" s="89"/>
      <c r="L66" s="89"/>
    </row>
    <row r="67" spans="1:12" s="216" customFormat="1" ht="11.25">
      <c r="A67" s="246"/>
      <c r="B67" s="231"/>
      <c r="C67" s="249"/>
      <c r="D67" s="226"/>
      <c r="E67" s="250"/>
      <c r="F67" s="226"/>
      <c r="G67" s="89"/>
      <c r="H67" s="89"/>
      <c r="I67" s="89"/>
      <c r="J67" s="89"/>
      <c r="K67" s="89"/>
      <c r="L67" s="89"/>
    </row>
    <row r="68" spans="1:12" s="216" customFormat="1" ht="11.25">
      <c r="A68" s="246"/>
      <c r="B68" s="231"/>
      <c r="C68" s="249"/>
      <c r="D68" s="226"/>
      <c r="E68" s="250"/>
      <c r="F68" s="226"/>
      <c r="G68" s="89"/>
      <c r="H68" s="89"/>
      <c r="I68" s="89"/>
      <c r="J68" s="89"/>
      <c r="K68" s="89"/>
      <c r="L68" s="89"/>
    </row>
    <row r="69" spans="1:12" s="216" customFormat="1" ht="11.25">
      <c r="A69" s="246"/>
      <c r="B69" s="231"/>
      <c r="C69" s="249"/>
      <c r="D69" s="226"/>
      <c r="E69" s="250"/>
      <c r="F69" s="226"/>
      <c r="G69" s="89"/>
      <c r="H69" s="89"/>
      <c r="I69" s="89"/>
      <c r="J69" s="89"/>
      <c r="K69" s="89"/>
      <c r="L69" s="89"/>
    </row>
    <row r="70" spans="1:12" s="216" customFormat="1" ht="11.25">
      <c r="A70" s="246"/>
      <c r="B70" s="231"/>
      <c r="C70" s="249"/>
      <c r="D70" s="226"/>
      <c r="E70" s="250"/>
      <c r="F70" s="226"/>
      <c r="G70" s="89"/>
      <c r="H70" s="89"/>
      <c r="I70" s="89"/>
      <c r="J70" s="89"/>
      <c r="K70" s="89"/>
      <c r="L70" s="89"/>
    </row>
    <row r="71" spans="1:12" s="216" customFormat="1" ht="11.25">
      <c r="A71" s="246"/>
      <c r="B71" s="231"/>
      <c r="C71" s="249"/>
      <c r="D71" s="226"/>
      <c r="E71" s="250"/>
      <c r="F71" s="226"/>
      <c r="G71" s="89"/>
      <c r="H71" s="89"/>
      <c r="I71" s="89"/>
      <c r="J71" s="89"/>
      <c r="K71" s="89"/>
      <c r="L71" s="89"/>
    </row>
    <row r="72" spans="1:12" s="216" customFormat="1" ht="11.25">
      <c r="A72" s="246"/>
      <c r="B72" s="231"/>
      <c r="C72" s="251"/>
      <c r="D72" s="158"/>
      <c r="E72" s="158"/>
      <c r="F72" s="89"/>
      <c r="G72" s="89"/>
      <c r="H72" s="89"/>
      <c r="I72" s="89"/>
      <c r="J72" s="89"/>
      <c r="K72" s="89"/>
      <c r="L72" s="89"/>
    </row>
    <row r="73" spans="1:12" s="216" customFormat="1" ht="11.25">
      <c r="A73" s="246"/>
      <c r="B73" s="231"/>
      <c r="C73" s="251"/>
      <c r="D73" s="158"/>
      <c r="E73" s="158"/>
      <c r="F73" s="89"/>
      <c r="G73" s="89"/>
      <c r="H73" s="89"/>
      <c r="I73" s="89"/>
      <c r="J73" s="89"/>
      <c r="K73" s="89"/>
      <c r="L73" s="89"/>
    </row>
    <row r="74" spans="1:12" s="216" customFormat="1" ht="11.25">
      <c r="A74" s="246"/>
      <c r="B74" s="231"/>
      <c r="C74" s="251"/>
      <c r="D74" s="158"/>
      <c r="E74" s="158"/>
      <c r="F74" s="89"/>
      <c r="G74" s="89"/>
      <c r="H74" s="89"/>
      <c r="I74" s="89"/>
      <c r="J74" s="89"/>
      <c r="K74" s="89"/>
      <c r="L74" s="89"/>
    </row>
    <row r="75" spans="1:12" s="216" customFormat="1" ht="11.25">
      <c r="A75" s="246"/>
      <c r="B75" s="231"/>
      <c r="C75" s="251"/>
      <c r="D75" s="158"/>
      <c r="E75" s="158"/>
      <c r="F75" s="89"/>
      <c r="G75" s="89"/>
      <c r="H75" s="89"/>
      <c r="I75" s="89"/>
      <c r="J75" s="89"/>
      <c r="K75" s="89"/>
      <c r="L75" s="89"/>
    </row>
    <row r="76" spans="1:12" s="216" customFormat="1" ht="11.25">
      <c r="A76" s="246"/>
      <c r="B76" s="231"/>
      <c r="C76" s="251"/>
      <c r="D76" s="158"/>
      <c r="E76" s="158"/>
      <c r="F76" s="89"/>
      <c r="G76" s="89"/>
      <c r="H76" s="89"/>
      <c r="I76" s="89"/>
      <c r="J76" s="89"/>
      <c r="K76" s="89"/>
      <c r="L76" s="89"/>
    </row>
    <row r="77" spans="1:12" s="216" customFormat="1" ht="11.25">
      <c r="A77" s="246"/>
      <c r="B77" s="231"/>
      <c r="C77" s="251"/>
      <c r="D77" s="158"/>
      <c r="E77" s="158"/>
      <c r="F77" s="89"/>
      <c r="G77" s="89"/>
      <c r="H77" s="89"/>
      <c r="I77" s="89"/>
      <c r="J77" s="89"/>
      <c r="K77" s="89"/>
      <c r="L77" s="89"/>
    </row>
    <row r="78" spans="1:12" s="216" customFormat="1" ht="11.25">
      <c r="A78" s="246"/>
      <c r="B78" s="231"/>
      <c r="C78" s="251"/>
      <c r="D78" s="158"/>
      <c r="E78" s="158"/>
      <c r="F78" s="89"/>
      <c r="G78" s="89"/>
      <c r="H78" s="89"/>
      <c r="I78" s="89"/>
      <c r="J78" s="89"/>
      <c r="K78" s="89"/>
      <c r="L78" s="89"/>
    </row>
    <row r="79" spans="1:12" s="216" customFormat="1" ht="11.25">
      <c r="A79" s="246"/>
      <c r="B79" s="231"/>
      <c r="C79" s="251"/>
      <c r="D79" s="158"/>
      <c r="E79" s="158"/>
      <c r="F79" s="89"/>
      <c r="G79" s="89"/>
      <c r="H79" s="89"/>
      <c r="I79" s="89"/>
      <c r="J79" s="89"/>
      <c r="K79" s="89"/>
      <c r="L79" s="89"/>
    </row>
    <row r="80" spans="1:12" s="216" customFormat="1" ht="11.25">
      <c r="A80" s="246"/>
      <c r="B80" s="231"/>
      <c r="C80" s="251"/>
      <c r="D80" s="158"/>
      <c r="E80" s="158"/>
      <c r="F80" s="226"/>
      <c r="G80" s="89"/>
      <c r="H80" s="89"/>
      <c r="I80" s="89"/>
      <c r="J80" s="89"/>
      <c r="K80" s="89"/>
      <c r="L80" s="89"/>
    </row>
    <row r="81" spans="1:12" s="216" customFormat="1" ht="11.25">
      <c r="A81" s="246"/>
      <c r="B81" s="231"/>
      <c r="C81" s="251"/>
      <c r="D81" s="158"/>
      <c r="E81" s="158"/>
      <c r="F81" s="226"/>
      <c r="G81" s="89"/>
      <c r="H81" s="89"/>
      <c r="I81" s="89"/>
      <c r="J81" s="89"/>
      <c r="K81" s="89"/>
      <c r="L81" s="89"/>
    </row>
    <row r="82" spans="1:12" s="216" customFormat="1" ht="11.25">
      <c r="A82" s="246"/>
      <c r="B82" s="231"/>
      <c r="C82" s="251"/>
      <c r="D82" s="158"/>
      <c r="E82" s="158"/>
      <c r="F82" s="226"/>
      <c r="G82" s="89"/>
      <c r="H82" s="89"/>
      <c r="I82" s="89"/>
      <c r="J82" s="89"/>
      <c r="K82" s="89"/>
      <c r="L82" s="89"/>
    </row>
    <row r="83" spans="1:12" s="216" customFormat="1" ht="11.25">
      <c r="A83" s="246"/>
      <c r="B83" s="231"/>
      <c r="C83" s="251"/>
      <c r="D83" s="158"/>
      <c r="E83" s="158"/>
      <c r="F83" s="226"/>
      <c r="G83" s="89"/>
      <c r="H83" s="89"/>
      <c r="I83" s="89"/>
      <c r="J83" s="89"/>
      <c r="K83" s="89"/>
      <c r="L83" s="89"/>
    </row>
    <row r="84" spans="1:12" s="216" customFormat="1" ht="11.25">
      <c r="A84" s="246"/>
      <c r="B84" s="231"/>
      <c r="C84" s="251"/>
      <c r="D84" s="158"/>
      <c r="E84" s="158"/>
      <c r="F84" s="226"/>
      <c r="G84" s="89"/>
      <c r="H84" s="89"/>
      <c r="I84" s="89"/>
      <c r="J84" s="89"/>
      <c r="K84" s="89"/>
      <c r="L84" s="89"/>
    </row>
    <row r="85" spans="1:12" s="216" customFormat="1" ht="11.25">
      <c r="A85" s="246"/>
      <c r="B85" s="231"/>
      <c r="C85" s="251"/>
      <c r="D85" s="158"/>
      <c r="E85" s="158"/>
      <c r="F85" s="226"/>
      <c r="G85" s="89"/>
      <c r="H85" s="89"/>
      <c r="I85" s="89"/>
      <c r="J85" s="89"/>
      <c r="K85" s="89"/>
      <c r="L85" s="89"/>
    </row>
    <row r="86" spans="1:12" s="216" customFormat="1" ht="11.25">
      <c r="A86" s="246"/>
      <c r="B86" s="231"/>
      <c r="C86" s="251"/>
      <c r="D86" s="158"/>
      <c r="E86" s="158"/>
      <c r="F86" s="226"/>
      <c r="G86" s="89"/>
      <c r="H86" s="89"/>
      <c r="I86" s="89"/>
      <c r="J86" s="89"/>
      <c r="K86" s="89"/>
      <c r="L86" s="89"/>
    </row>
    <row r="87" spans="1:12" s="216" customFormat="1" ht="11.25">
      <c r="A87" s="246"/>
      <c r="B87" s="231"/>
      <c r="C87" s="251"/>
      <c r="D87" s="158"/>
      <c r="E87" s="158"/>
      <c r="F87" s="226"/>
      <c r="G87" s="89"/>
      <c r="H87" s="89"/>
      <c r="I87" s="89"/>
      <c r="J87" s="89"/>
      <c r="K87" s="89"/>
      <c r="L87" s="89"/>
    </row>
    <row r="88" spans="1:12" s="216" customFormat="1" ht="11.25">
      <c r="A88" s="246"/>
      <c r="B88" s="231"/>
      <c r="C88" s="251"/>
      <c r="D88" s="158"/>
      <c r="E88" s="158"/>
      <c r="F88" s="226"/>
      <c r="G88" s="89"/>
      <c r="H88" s="89"/>
      <c r="I88" s="89"/>
      <c r="J88" s="89"/>
      <c r="K88" s="89"/>
      <c r="L88" s="89"/>
    </row>
    <row r="89" spans="1:12" s="216" customFormat="1" ht="11.25">
      <c r="A89" s="246"/>
      <c r="B89" s="231"/>
      <c r="C89" s="251"/>
      <c r="D89" s="158"/>
      <c r="E89" s="158"/>
      <c r="F89" s="226"/>
      <c r="G89" s="89"/>
      <c r="H89" s="89"/>
      <c r="I89" s="89"/>
      <c r="J89" s="89"/>
      <c r="K89" s="89"/>
      <c r="L89" s="89"/>
    </row>
    <row r="90" spans="1:12" s="216" customFormat="1" ht="11.25">
      <c r="A90" s="246"/>
      <c r="B90" s="231"/>
      <c r="C90" s="251"/>
      <c r="D90" s="158"/>
      <c r="E90" s="158"/>
      <c r="F90" s="226"/>
      <c r="G90" s="89"/>
      <c r="H90" s="89"/>
      <c r="I90" s="89"/>
      <c r="J90" s="89"/>
      <c r="K90" s="89"/>
      <c r="L90" s="89"/>
    </row>
    <row r="91" spans="1:12" s="216" customFormat="1" ht="11.25">
      <c r="A91" s="246"/>
      <c r="B91" s="231"/>
      <c r="C91" s="251"/>
      <c r="D91" s="158"/>
      <c r="E91" s="158"/>
      <c r="F91" s="226"/>
      <c r="G91" s="89"/>
      <c r="H91" s="89"/>
      <c r="I91" s="89"/>
      <c r="J91" s="89"/>
      <c r="K91" s="89"/>
      <c r="L91" s="89"/>
    </row>
    <row r="92" spans="1:12" s="216" customFormat="1" ht="11.25">
      <c r="A92" s="246"/>
      <c r="B92" s="231"/>
      <c r="C92" s="251"/>
      <c r="D92" s="158"/>
      <c r="E92" s="158"/>
      <c r="F92" s="226"/>
      <c r="G92" s="89"/>
      <c r="H92" s="89"/>
      <c r="I92" s="89"/>
      <c r="J92" s="89"/>
      <c r="K92" s="89"/>
      <c r="L92" s="89"/>
    </row>
    <row r="93" spans="1:12" s="216" customFormat="1" ht="11.25">
      <c r="A93" s="246"/>
      <c r="B93" s="231"/>
      <c r="C93" s="251"/>
      <c r="D93" s="158"/>
      <c r="E93" s="158"/>
      <c r="F93" s="226"/>
      <c r="G93" s="89"/>
      <c r="H93" s="89"/>
      <c r="I93" s="89"/>
      <c r="J93" s="89"/>
      <c r="K93" s="89"/>
      <c r="L93" s="89"/>
    </row>
    <row r="94" spans="1:12" s="216" customFormat="1" ht="11.25">
      <c r="A94" s="246"/>
      <c r="B94" s="231"/>
      <c r="C94" s="251"/>
      <c r="D94" s="158"/>
      <c r="E94" s="158"/>
      <c r="F94" s="226"/>
      <c r="G94" s="89"/>
      <c r="H94" s="89"/>
      <c r="I94" s="89"/>
      <c r="J94" s="89"/>
      <c r="K94" s="89"/>
      <c r="L94" s="89"/>
    </row>
    <row r="95" spans="1:12" s="216" customFormat="1" ht="11.25">
      <c r="A95" s="246"/>
      <c r="B95" s="231"/>
      <c r="C95" s="251"/>
      <c r="D95" s="158"/>
      <c r="E95" s="158"/>
      <c r="F95" s="226"/>
      <c r="G95" s="89"/>
      <c r="H95" s="89"/>
      <c r="I95" s="89"/>
      <c r="J95" s="89"/>
      <c r="K95" s="89"/>
      <c r="L95" s="89"/>
    </row>
    <row r="96" spans="1:12" s="216" customFormat="1" ht="11.25">
      <c r="A96" s="246"/>
      <c r="B96" s="231"/>
      <c r="C96" s="251"/>
      <c r="D96" s="158"/>
      <c r="E96" s="158"/>
      <c r="F96" s="226"/>
      <c r="G96" s="89"/>
      <c r="H96" s="89"/>
      <c r="I96" s="89"/>
      <c r="J96" s="89"/>
      <c r="K96" s="89"/>
      <c r="L96" s="89"/>
    </row>
    <row r="97" spans="1:12" s="216" customFormat="1" ht="11.25">
      <c r="A97" s="246"/>
      <c r="B97" s="231"/>
      <c r="C97" s="251"/>
      <c r="D97" s="158"/>
      <c r="E97" s="158"/>
      <c r="F97" s="226"/>
      <c r="G97" s="89"/>
      <c r="H97" s="89"/>
      <c r="I97" s="89"/>
      <c r="J97" s="89"/>
      <c r="K97" s="89"/>
      <c r="L97" s="89"/>
    </row>
    <row r="98" spans="1:12" s="216" customFormat="1" ht="11.25">
      <c r="A98" s="246"/>
      <c r="B98" s="231"/>
      <c r="C98" s="251"/>
      <c r="D98" s="158"/>
      <c r="E98" s="158"/>
      <c r="F98" s="226"/>
      <c r="G98" s="89"/>
      <c r="H98" s="89"/>
      <c r="I98" s="89"/>
      <c r="J98" s="89"/>
      <c r="K98" s="89"/>
      <c r="L98" s="89"/>
    </row>
    <row r="99" spans="1:12" s="216" customFormat="1" ht="11.25">
      <c r="A99" s="246"/>
      <c r="B99" s="231"/>
      <c r="C99" s="251"/>
      <c r="D99" s="158"/>
      <c r="E99" s="158"/>
      <c r="F99" s="226"/>
      <c r="G99" s="89"/>
      <c r="H99" s="89"/>
      <c r="I99" s="89"/>
      <c r="J99" s="89"/>
      <c r="K99" s="89"/>
      <c r="L99" s="89"/>
    </row>
    <row r="100" spans="1:12" s="216" customFormat="1" ht="11.25">
      <c r="A100" s="246"/>
      <c r="B100" s="231"/>
      <c r="C100" s="251"/>
      <c r="D100" s="158"/>
      <c r="E100" s="158"/>
      <c r="F100" s="226"/>
      <c r="G100" s="89"/>
      <c r="H100" s="89"/>
      <c r="I100" s="89"/>
      <c r="J100" s="89"/>
      <c r="K100" s="89"/>
      <c r="L100" s="89"/>
    </row>
  </sheetData>
  <sheetProtection password="CF33" sheet="1" objects="1" scenarios="1" formatCells="0" formatColumns="0" formatRows="0" sort="0"/>
  <mergeCells count="3">
    <mergeCell ref="D2:D3"/>
    <mergeCell ref="D5:D8"/>
    <mergeCell ref="A1:B1"/>
  </mergeCells>
  <phoneticPr fontId="1" type="noConversion"/>
  <printOptions horizontalCentered="1"/>
  <pageMargins left="0.39370078740157483" right="0.39370078740157483" top="0.98425196850393704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K4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9" sqref="E19"/>
    </sheetView>
  </sheetViews>
  <sheetFormatPr defaultColWidth="8.85546875" defaultRowHeight="12.75"/>
  <cols>
    <col min="1" max="1" width="3.7109375" style="38" bestFit="1" customWidth="1"/>
    <col min="2" max="2" width="4.7109375" style="38" bestFit="1" customWidth="1"/>
    <col min="3" max="3" width="7.7109375" style="38" customWidth="1"/>
    <col min="4" max="4" width="40.7109375" style="31" customWidth="1"/>
    <col min="5" max="5" width="25.7109375" style="39" customWidth="1"/>
    <col min="6" max="6" width="6.85546875" style="38" bestFit="1" customWidth="1"/>
    <col min="7" max="7" width="11.7109375" style="31" customWidth="1"/>
    <col min="8" max="8" width="16.7109375" style="31" customWidth="1"/>
    <col min="9" max="9" width="5.7109375" style="31" hidden="1" customWidth="1"/>
    <col min="10" max="11" width="8.85546875" style="31" hidden="1" customWidth="1"/>
    <col min="12" max="16384" width="8.85546875" style="31"/>
  </cols>
  <sheetData>
    <row r="1" spans="1:11" s="24" customFormat="1" ht="20.25">
      <c r="A1" s="321" t="str">
        <f>Setup!$B$3 &amp; ", " &amp; Setup!$B$4 &amp; ", " &amp; Setup!$B$6 &amp; ", " &amp; Setup!$B$8 &amp; "-" &amp; Setup!$B$9</f>
        <v>ΣΤ' ΕΝΩΣΗ, Open Προπαιδικό U10, ΡΗΓΑΣ ΑΟΑΑ, 30/05/2026-31/05/2026</v>
      </c>
      <c r="B1" s="321"/>
      <c r="C1" s="321"/>
      <c r="D1" s="321"/>
      <c r="E1" s="321"/>
      <c r="F1" s="321"/>
      <c r="G1" s="321"/>
      <c r="H1" s="42" t="str">
        <f>Setup!B7</f>
        <v>BOYS 10</v>
      </c>
    </row>
    <row r="2" spans="1:11" s="25" customFormat="1" ht="13.9" customHeight="1">
      <c r="A2" s="43" t="s">
        <v>10</v>
      </c>
      <c r="B2" s="43" t="s">
        <v>21</v>
      </c>
      <c r="C2" s="43" t="s">
        <v>7</v>
      </c>
      <c r="D2" s="43" t="s">
        <v>6</v>
      </c>
      <c r="E2" s="43" t="s">
        <v>9</v>
      </c>
      <c r="F2" s="43" t="s">
        <v>50</v>
      </c>
      <c r="G2" s="43" t="s">
        <v>8</v>
      </c>
      <c r="H2" s="43" t="s">
        <v>51</v>
      </c>
      <c r="I2" s="157" t="s">
        <v>42</v>
      </c>
      <c r="J2" s="158" t="s">
        <v>53</v>
      </c>
      <c r="K2" s="158" t="s">
        <v>54</v>
      </c>
    </row>
    <row r="3" spans="1:11">
      <c r="A3" s="44">
        <v>1</v>
      </c>
      <c r="B3" s="21"/>
      <c r="C3" s="140">
        <v>1</v>
      </c>
      <c r="D3" s="141" t="s">
        <v>89</v>
      </c>
      <c r="E3" s="141" t="s">
        <v>84</v>
      </c>
      <c r="F3" s="142"/>
      <c r="G3" s="21"/>
      <c r="H3" s="22"/>
      <c r="I3" s="30">
        <f t="shared" ref="I3:I34" si="0">IF(D3&gt;" ",F3+J3,0)</f>
        <v>4.48635527761261E-3</v>
      </c>
      <c r="J3" s="158">
        <v>4.48635527761261E-3</v>
      </c>
      <c r="K3" s="161" t="str">
        <f t="shared" ref="K3:K34" si="1">TRIM(D3)</f>
        <v>ΣΑΡΡΗΣ ΔΗΜΗΤΡΗΣ</v>
      </c>
    </row>
    <row r="4" spans="1:11">
      <c r="A4" s="44">
        <v>2</v>
      </c>
      <c r="B4" s="21"/>
      <c r="C4" s="140">
        <v>2</v>
      </c>
      <c r="D4" s="141" t="s">
        <v>90</v>
      </c>
      <c r="E4" s="141" t="s">
        <v>91</v>
      </c>
      <c r="F4" s="142"/>
      <c r="G4" s="29"/>
      <c r="H4" s="22"/>
      <c r="I4" s="30">
        <f t="shared" si="0"/>
        <v>4.3188630816898546E-3</v>
      </c>
      <c r="J4" s="158">
        <v>4.3188630816898546E-3</v>
      </c>
      <c r="K4" s="161" t="str">
        <f t="shared" si="1"/>
        <v>ΑΝΤΩΝΟΠΟΥΛΟΣ ΓΙΩΡΓΟΣ</v>
      </c>
    </row>
    <row r="5" spans="1:11">
      <c r="A5" s="44">
        <v>3</v>
      </c>
      <c r="B5" s="21"/>
      <c r="C5" s="140">
        <v>3</v>
      </c>
      <c r="D5" s="141" t="s">
        <v>92</v>
      </c>
      <c r="E5" s="141" t="s">
        <v>84</v>
      </c>
      <c r="F5" s="142"/>
      <c r="G5" s="21"/>
      <c r="H5" s="22"/>
      <c r="I5" s="30">
        <f t="shared" si="0"/>
        <v>4.1603565212078282E-3</v>
      </c>
      <c r="J5" s="158">
        <v>4.1603565212078282E-3</v>
      </c>
      <c r="K5" s="161" t="str">
        <f t="shared" si="1"/>
        <v>ΜΑΓΟΥΛΑΣ ΑΚΗΣ</v>
      </c>
    </row>
    <row r="6" spans="1:11">
      <c r="A6" s="44">
        <v>4</v>
      </c>
      <c r="B6" s="21"/>
      <c r="C6" s="140">
        <v>4</v>
      </c>
      <c r="D6" s="141" t="s">
        <v>93</v>
      </c>
      <c r="E6" s="141" t="s">
        <v>94</v>
      </c>
      <c r="F6" s="142"/>
      <c r="G6" s="21"/>
      <c r="H6" s="22"/>
      <c r="I6" s="30">
        <f t="shared" si="0"/>
        <v>4.0701251038367959E-3</v>
      </c>
      <c r="J6" s="158">
        <v>4.0701251038367959E-3</v>
      </c>
      <c r="K6" s="161" t="str">
        <f t="shared" si="1"/>
        <v>ΤΡΙΑΝΤΑΦΥΛΛΟΥ ΓΙΩΡΓΟΣ</v>
      </c>
    </row>
    <row r="7" spans="1:11">
      <c r="A7" s="44">
        <v>5</v>
      </c>
      <c r="B7" s="21"/>
      <c r="C7" s="140">
        <v>5</v>
      </c>
      <c r="D7" s="141" t="s">
        <v>95</v>
      </c>
      <c r="E7" s="141" t="s">
        <v>96</v>
      </c>
      <c r="F7" s="142"/>
      <c r="G7" s="21"/>
      <c r="H7" s="22"/>
      <c r="I7" s="30">
        <f t="shared" si="0"/>
        <v>3.8928194166841434E-3</v>
      </c>
      <c r="J7" s="158">
        <v>3.8928194166841434E-3</v>
      </c>
      <c r="K7" s="161" t="str">
        <f t="shared" si="1"/>
        <v>ΚΟΡΚΑΣ ΑΝΑΣΤΑΣΙΟΣ</v>
      </c>
    </row>
    <row r="8" spans="1:11">
      <c r="A8" s="44">
        <v>6</v>
      </c>
      <c r="B8" s="21"/>
      <c r="C8" s="36">
        <v>6</v>
      </c>
      <c r="D8" s="22" t="s">
        <v>97</v>
      </c>
      <c r="E8" s="28" t="s">
        <v>98</v>
      </c>
      <c r="F8" s="21"/>
      <c r="G8" s="21"/>
      <c r="H8" s="22"/>
      <c r="I8" s="30">
        <f t="shared" si="0"/>
        <v>3.6760936328035653E-3</v>
      </c>
      <c r="J8" s="158">
        <v>3.6760936328035653E-3</v>
      </c>
      <c r="K8" s="161" t="str">
        <f t="shared" si="1"/>
        <v>ΛΕΚΚΑΣ ΑΝΑΣΤΑΣΙΟΣ</v>
      </c>
    </row>
    <row r="9" spans="1:11">
      <c r="A9" s="44">
        <v>7</v>
      </c>
      <c r="B9" s="21"/>
      <c r="C9" s="140">
        <v>7</v>
      </c>
      <c r="D9" s="141" t="s">
        <v>99</v>
      </c>
      <c r="E9" s="141" t="s">
        <v>100</v>
      </c>
      <c r="F9" s="142"/>
      <c r="G9" s="21"/>
      <c r="H9" s="22"/>
      <c r="I9" s="30">
        <f t="shared" si="0"/>
        <v>3.6468255507583576E-3</v>
      </c>
      <c r="J9" s="158">
        <v>3.6468255507583576E-3</v>
      </c>
      <c r="K9" s="161" t="str">
        <f t="shared" si="1"/>
        <v>ΘΕΟΔΩΡΟΠΟΥΛΟΣ ΠΑΝΑΓΙΩΤΗΣ</v>
      </c>
    </row>
    <row r="10" spans="1:11">
      <c r="A10" s="44">
        <v>8</v>
      </c>
      <c r="B10" s="21"/>
      <c r="C10" s="140">
        <v>8</v>
      </c>
      <c r="D10" s="141" t="s">
        <v>101</v>
      </c>
      <c r="E10" s="141" t="s">
        <v>94</v>
      </c>
      <c r="F10" s="142"/>
      <c r="G10" s="33"/>
      <c r="H10" s="22"/>
      <c r="I10" s="30">
        <f t="shared" si="0"/>
        <v>3.5479484285413899E-3</v>
      </c>
      <c r="J10" s="158">
        <v>3.5479484285413899E-3</v>
      </c>
      <c r="K10" s="161" t="str">
        <f t="shared" si="1"/>
        <v>ΣΟΥΝΤΑΣ ΣΤΑΥΡΟΣ</v>
      </c>
    </row>
    <row r="11" spans="1:11">
      <c r="A11" s="44">
        <v>9</v>
      </c>
      <c r="B11" s="21"/>
      <c r="C11" s="140">
        <v>9</v>
      </c>
      <c r="D11" s="141" t="s">
        <v>102</v>
      </c>
      <c r="E11" s="141" t="s">
        <v>103</v>
      </c>
      <c r="F11" s="142"/>
      <c r="G11" s="33"/>
      <c r="H11" s="22"/>
      <c r="I11" s="30">
        <f t="shared" si="0"/>
        <v>3.4997935539849393E-3</v>
      </c>
      <c r="J11" s="158">
        <v>3.4997935539849393E-3</v>
      </c>
      <c r="K11" s="161" t="str">
        <f t="shared" si="1"/>
        <v>ΣΠΗΛΙΟΠΟΥΛΟΣ ΝΙΚΟΛΑΟΣ</v>
      </c>
    </row>
    <row r="12" spans="1:11">
      <c r="A12" s="44">
        <v>10</v>
      </c>
      <c r="B12" s="21"/>
      <c r="C12" s="140">
        <v>10</v>
      </c>
      <c r="D12" s="141" t="s">
        <v>104</v>
      </c>
      <c r="E12" s="141" t="s">
        <v>105</v>
      </c>
      <c r="F12" s="142"/>
      <c r="G12" s="21"/>
      <c r="H12" s="22"/>
      <c r="I12" s="30">
        <f t="shared" si="0"/>
        <v>3.2976359153006514E-3</v>
      </c>
      <c r="J12" s="158">
        <v>3.2976359153006514E-3</v>
      </c>
      <c r="K12" s="161" t="str">
        <f t="shared" si="1"/>
        <v>ΠΟΥΛΙΚΑΡΑΚΟΣ ΝΙΚΟΛΑΟΣ</v>
      </c>
    </row>
    <row r="13" spans="1:11">
      <c r="A13" s="44">
        <v>11</v>
      </c>
      <c r="B13" s="21"/>
      <c r="C13" s="140">
        <v>11</v>
      </c>
      <c r="D13" s="141" t="s">
        <v>106</v>
      </c>
      <c r="E13" s="141"/>
      <c r="F13" s="142"/>
      <c r="G13" s="35"/>
      <c r="H13" s="22"/>
      <c r="I13" s="30">
        <f t="shared" si="0"/>
        <v>3.222326103579835E-3</v>
      </c>
      <c r="J13" s="158">
        <v>3.222326103579835E-3</v>
      </c>
      <c r="K13" s="161" t="str">
        <f t="shared" si="1"/>
        <v>ΤΖΩΡΤΖΑΤΟΣ ΔΗΜΗΤΡΗΣ</v>
      </c>
    </row>
    <row r="14" spans="1:11">
      <c r="A14" s="44">
        <v>12</v>
      </c>
      <c r="B14" s="21"/>
      <c r="C14" s="140">
        <v>12</v>
      </c>
      <c r="D14" s="141" t="s">
        <v>107</v>
      </c>
      <c r="E14" s="141" t="s">
        <v>94</v>
      </c>
      <c r="F14" s="142"/>
      <c r="G14" s="21"/>
      <c r="H14" s="22"/>
      <c r="I14" s="30">
        <f t="shared" si="0"/>
        <v>3.099064625698872E-3</v>
      </c>
      <c r="J14" s="158">
        <v>3.099064625698872E-3</v>
      </c>
      <c r="K14" s="161" t="str">
        <f t="shared" si="1"/>
        <v>ΤΣΑΓΚΑΡΕΛΗΣ ΑΛΕΞΑΝΔΡΟΣ</v>
      </c>
    </row>
    <row r="15" spans="1:11">
      <c r="A15" s="44">
        <v>13</v>
      </c>
      <c r="B15" s="21"/>
      <c r="C15" s="140">
        <v>13</v>
      </c>
      <c r="D15" s="141" t="s">
        <v>108</v>
      </c>
      <c r="E15" s="141" t="s">
        <v>94</v>
      </c>
      <c r="F15" s="142"/>
      <c r="G15" s="33"/>
      <c r="H15" s="22"/>
      <c r="I15" s="30">
        <f t="shared" si="0"/>
        <v>3.0572373532736811E-3</v>
      </c>
      <c r="J15" s="158">
        <v>3.0572373532736811E-3</v>
      </c>
      <c r="K15" s="161" t="str">
        <f t="shared" si="1"/>
        <v>ΚΑΣΤΡΑΝΤΑΣ ΧΡΗΣΤΟΣ</v>
      </c>
    </row>
    <row r="16" spans="1:11">
      <c r="A16" s="44">
        <v>14</v>
      </c>
      <c r="B16" s="21"/>
      <c r="C16" s="140">
        <v>14</v>
      </c>
      <c r="D16" s="141" t="s">
        <v>109</v>
      </c>
      <c r="E16" s="141" t="s">
        <v>110</v>
      </c>
      <c r="F16" s="142"/>
      <c r="G16" s="21"/>
      <c r="H16" s="22"/>
      <c r="I16" s="30">
        <f t="shared" si="0"/>
        <v>2.9966673069137004E-3</v>
      </c>
      <c r="J16" s="158">
        <v>2.9966673069137004E-3</v>
      </c>
      <c r="K16" s="161" t="str">
        <f t="shared" si="1"/>
        <v>ΑΡΑΠΙ ΜΙΧΑΛΗΣ</v>
      </c>
    </row>
    <row r="17" spans="1:11">
      <c r="A17" s="44">
        <v>15</v>
      </c>
      <c r="B17" s="21"/>
      <c r="C17" s="140">
        <v>15</v>
      </c>
      <c r="D17" s="141" t="s">
        <v>111</v>
      </c>
      <c r="E17" s="141" t="s">
        <v>112</v>
      </c>
      <c r="F17" s="142"/>
      <c r="G17" s="29"/>
      <c r="H17" s="22"/>
      <c r="I17" s="30">
        <f t="shared" si="0"/>
        <v>2.7010806092598698E-3</v>
      </c>
      <c r="J17" s="158">
        <v>2.7010806092598698E-3</v>
      </c>
      <c r="K17" s="161" t="str">
        <f t="shared" si="1"/>
        <v>ΣΤΑΙΚΟΣ ΓΙΩΡΓΟΣ</v>
      </c>
    </row>
    <row r="18" spans="1:11">
      <c r="A18" s="44">
        <v>16</v>
      </c>
      <c r="B18" s="21"/>
      <c r="C18" s="29">
        <v>16</v>
      </c>
      <c r="D18" s="27" t="s">
        <v>113</v>
      </c>
      <c r="E18" s="28" t="s">
        <v>112</v>
      </c>
      <c r="F18" s="21"/>
      <c r="G18" s="29"/>
      <c r="H18" s="22"/>
      <c r="I18" s="30">
        <f t="shared" si="0"/>
        <v>2.0579223883858805E-3</v>
      </c>
      <c r="J18" s="158">
        <v>2.0579223883858805E-3</v>
      </c>
      <c r="K18" s="161" t="str">
        <f t="shared" si="1"/>
        <v>ΠΑΠΑΧΑΤΖΗΣ ΓΙΩΡΓΟΣ</v>
      </c>
    </row>
    <row r="19" spans="1:11">
      <c r="A19" s="44">
        <v>17</v>
      </c>
      <c r="B19" s="21"/>
      <c r="C19" s="140">
        <v>17</v>
      </c>
      <c r="D19" s="141" t="s">
        <v>114</v>
      </c>
      <c r="E19" s="141" t="s">
        <v>112</v>
      </c>
      <c r="F19" s="142"/>
      <c r="G19" s="33"/>
      <c r="H19" s="22"/>
      <c r="I19" s="30">
        <f t="shared" si="0"/>
        <v>2.0312834077392699E-3</v>
      </c>
      <c r="J19" s="158">
        <v>2.0312834077392699E-3</v>
      </c>
      <c r="K19" s="161" t="str">
        <f t="shared" si="1"/>
        <v>ΚΛΑΔΟΣ ΓΙΩΡΓΟΣ</v>
      </c>
    </row>
    <row r="20" spans="1:11">
      <c r="A20" s="44">
        <v>18</v>
      </c>
      <c r="B20" s="21"/>
      <c r="C20" s="29"/>
      <c r="D20" s="27"/>
      <c r="E20" s="28"/>
      <c r="F20" s="21"/>
      <c r="G20" s="29"/>
      <c r="H20" s="22"/>
      <c r="I20" s="30">
        <f t="shared" si="0"/>
        <v>0</v>
      </c>
      <c r="J20" s="158">
        <v>1.9658124013733017E-3</v>
      </c>
      <c r="K20" s="161" t="str">
        <f t="shared" si="1"/>
        <v/>
      </c>
    </row>
    <row r="21" spans="1:11">
      <c r="A21" s="44">
        <v>19</v>
      </c>
      <c r="B21" s="21"/>
      <c r="C21" s="140"/>
      <c r="D21" s="141"/>
      <c r="E21" s="141"/>
      <c r="F21" s="142"/>
      <c r="G21" s="33"/>
      <c r="H21" s="22"/>
      <c r="I21" s="30">
        <f t="shared" si="0"/>
        <v>0</v>
      </c>
      <c r="J21" s="158">
        <v>1.8174101985403992E-3</v>
      </c>
      <c r="K21" s="161" t="str">
        <f t="shared" si="1"/>
        <v/>
      </c>
    </row>
    <row r="22" spans="1:11">
      <c r="A22" s="44">
        <v>20</v>
      </c>
      <c r="B22" s="21"/>
      <c r="C22" s="140"/>
      <c r="D22" s="141"/>
      <c r="E22" s="141"/>
      <c r="F22" s="142"/>
      <c r="G22" s="33"/>
      <c r="H22" s="22"/>
      <c r="I22" s="30">
        <f t="shared" si="0"/>
        <v>0</v>
      </c>
      <c r="J22" s="158">
        <v>1.7427030597433116E-3</v>
      </c>
      <c r="K22" s="161" t="str">
        <f t="shared" si="1"/>
        <v/>
      </c>
    </row>
    <row r="23" spans="1:11">
      <c r="A23" s="44">
        <v>21</v>
      </c>
      <c r="B23" s="21"/>
      <c r="C23" s="140"/>
      <c r="D23" s="141"/>
      <c r="E23" s="141"/>
      <c r="F23" s="142"/>
      <c r="G23" s="33"/>
      <c r="H23" s="22"/>
      <c r="I23" s="30">
        <f t="shared" si="0"/>
        <v>0</v>
      </c>
      <c r="J23" s="158">
        <v>1.2344585938954447E-3</v>
      </c>
      <c r="K23" s="161" t="str">
        <f t="shared" si="1"/>
        <v/>
      </c>
    </row>
    <row r="24" spans="1:11">
      <c r="A24" s="44">
        <v>22</v>
      </c>
      <c r="B24" s="21"/>
      <c r="C24" s="21"/>
      <c r="D24" s="22"/>
      <c r="E24" s="28"/>
      <c r="F24" s="21"/>
      <c r="G24" s="21"/>
      <c r="H24" s="22"/>
      <c r="I24" s="30">
        <f t="shared" si="0"/>
        <v>0</v>
      </c>
      <c r="J24" s="158">
        <v>1.1513479061139788E-3</v>
      </c>
      <c r="K24" s="161" t="str">
        <f t="shared" si="1"/>
        <v/>
      </c>
    </row>
    <row r="25" spans="1:11">
      <c r="A25" s="44">
        <v>23</v>
      </c>
      <c r="B25" s="21"/>
      <c r="C25" s="140"/>
      <c r="D25" s="141"/>
      <c r="E25" s="141"/>
      <c r="F25" s="142"/>
      <c r="G25" s="21"/>
      <c r="H25" s="22"/>
      <c r="I25" s="30">
        <f t="shared" si="0"/>
        <v>0</v>
      </c>
      <c r="J25" s="158">
        <v>1.0868675120133311E-3</v>
      </c>
      <c r="K25" s="161" t="str">
        <f t="shared" si="1"/>
        <v/>
      </c>
    </row>
    <row r="26" spans="1:11">
      <c r="A26" s="44">
        <v>24</v>
      </c>
      <c r="B26" s="21"/>
      <c r="C26" s="140"/>
      <c r="D26" s="141"/>
      <c r="E26" s="141"/>
      <c r="F26" s="142"/>
      <c r="G26" s="32"/>
      <c r="H26" s="22"/>
      <c r="I26" s="30">
        <f t="shared" si="0"/>
        <v>0</v>
      </c>
      <c r="J26" s="158">
        <v>1.0148569775873279E-3</v>
      </c>
      <c r="K26" s="161" t="str">
        <f t="shared" si="1"/>
        <v/>
      </c>
    </row>
    <row r="27" spans="1:11">
      <c r="A27" s="44">
        <v>25</v>
      </c>
      <c r="B27" s="21"/>
      <c r="C27" s="140"/>
      <c r="D27" s="141"/>
      <c r="E27" s="141"/>
      <c r="F27" s="142"/>
      <c r="G27" s="21"/>
      <c r="H27" s="22"/>
      <c r="I27" s="30">
        <f t="shared" si="0"/>
        <v>0</v>
      </c>
      <c r="J27" s="158">
        <v>6.456269815163549E-4</v>
      </c>
      <c r="K27" s="161" t="str">
        <f t="shared" si="1"/>
        <v/>
      </c>
    </row>
    <row r="28" spans="1:11">
      <c r="A28" s="44">
        <v>26</v>
      </c>
      <c r="B28" s="21"/>
      <c r="C28" s="140"/>
      <c r="D28" s="141"/>
      <c r="E28" s="141"/>
      <c r="F28" s="142"/>
      <c r="G28" s="35"/>
      <c r="H28" s="22"/>
      <c r="I28" s="30">
        <f t="shared" si="0"/>
        <v>0</v>
      </c>
      <c r="J28" s="158">
        <v>4.462381909695002E-4</v>
      </c>
      <c r="K28" s="161" t="str">
        <f t="shared" si="1"/>
        <v/>
      </c>
    </row>
    <row r="29" spans="1:11">
      <c r="A29" s="44">
        <v>27</v>
      </c>
      <c r="B29" s="21"/>
      <c r="C29" s="140"/>
      <c r="D29" s="141"/>
      <c r="E29" s="141"/>
      <c r="F29" s="142"/>
      <c r="G29" s="21"/>
      <c r="H29" s="22"/>
      <c r="I29" s="30">
        <f t="shared" si="0"/>
        <v>0</v>
      </c>
      <c r="J29" s="158">
        <v>2.7159015529233628E-4</v>
      </c>
      <c r="K29" s="161" t="str">
        <f t="shared" si="1"/>
        <v/>
      </c>
    </row>
    <row r="30" spans="1:11">
      <c r="A30" s="44">
        <v>28</v>
      </c>
      <c r="B30" s="21"/>
      <c r="C30" s="140"/>
      <c r="D30" s="141"/>
      <c r="E30" s="141"/>
      <c r="F30" s="142"/>
      <c r="G30" s="21"/>
      <c r="H30" s="22"/>
      <c r="I30" s="30">
        <f t="shared" si="0"/>
        <v>0</v>
      </c>
      <c r="J30" s="158">
        <v>2.4668064860831185E-4</v>
      </c>
      <c r="K30" s="161" t="str">
        <f t="shared" si="1"/>
        <v/>
      </c>
    </row>
    <row r="31" spans="1:11">
      <c r="A31" s="44">
        <v>29</v>
      </c>
      <c r="B31" s="21"/>
      <c r="C31" s="140"/>
      <c r="D31" s="141"/>
      <c r="E31" s="141"/>
      <c r="F31" s="142"/>
      <c r="G31" s="21"/>
      <c r="H31" s="22"/>
      <c r="I31" s="30">
        <f t="shared" si="0"/>
        <v>0</v>
      </c>
      <c r="J31" s="158">
        <v>1.9730013967936952E-4</v>
      </c>
      <c r="K31" s="161" t="str">
        <f t="shared" si="1"/>
        <v/>
      </c>
    </row>
    <row r="32" spans="1:11">
      <c r="A32" s="44">
        <v>30</v>
      </c>
      <c r="B32" s="21"/>
      <c r="C32" s="140"/>
      <c r="D32" s="141"/>
      <c r="E32" s="141"/>
      <c r="F32" s="142"/>
      <c r="G32" s="33"/>
      <c r="H32" s="22"/>
      <c r="I32" s="30">
        <f t="shared" si="0"/>
        <v>0</v>
      </c>
      <c r="J32" s="158">
        <v>8.1944937180329299E-5</v>
      </c>
      <c r="K32" s="161" t="str">
        <f t="shared" si="1"/>
        <v/>
      </c>
    </row>
    <row r="33" spans="1:11">
      <c r="A33" s="44">
        <v>31</v>
      </c>
      <c r="B33" s="21"/>
      <c r="C33" s="33"/>
      <c r="D33" s="34" t="s">
        <v>49</v>
      </c>
      <c r="E33" s="37"/>
      <c r="F33" s="21"/>
      <c r="G33" s="33"/>
      <c r="H33" s="22"/>
      <c r="I33" s="30">
        <f t="shared" si="0"/>
        <v>0</v>
      </c>
      <c r="J33" s="158">
        <v>2.4428420360432137E-3</v>
      </c>
      <c r="K33" s="161" t="str">
        <f t="shared" si="1"/>
        <v/>
      </c>
    </row>
    <row r="34" spans="1:11">
      <c r="A34" s="44">
        <v>32</v>
      </c>
      <c r="B34" s="21"/>
      <c r="C34" s="21"/>
      <c r="D34" s="27" t="s">
        <v>49</v>
      </c>
      <c r="E34" s="28"/>
      <c r="F34" s="21"/>
      <c r="G34" s="29"/>
      <c r="H34" s="22"/>
      <c r="I34" s="30">
        <f t="shared" si="0"/>
        <v>0</v>
      </c>
      <c r="J34" s="158">
        <v>1.7591624214601553E-3</v>
      </c>
      <c r="K34" s="161" t="str">
        <f t="shared" si="1"/>
        <v/>
      </c>
    </row>
    <row r="35" spans="1:11">
      <c r="I35" s="40"/>
    </row>
    <row r="36" spans="1:11">
      <c r="I36" s="40"/>
    </row>
    <row r="37" spans="1:11">
      <c r="B37" s="320" t="s">
        <v>43</v>
      </c>
      <c r="C37" s="320"/>
      <c r="D37" s="320"/>
      <c r="E37" s="45" t="s">
        <v>44</v>
      </c>
      <c r="H37" s="183" t="s">
        <v>37</v>
      </c>
    </row>
    <row r="38" spans="1:11">
      <c r="B38" s="43" t="s">
        <v>10</v>
      </c>
      <c r="C38" s="43" t="s">
        <v>7</v>
      </c>
      <c r="D38" s="43" t="s">
        <v>6</v>
      </c>
      <c r="E38" s="46" t="s">
        <v>45</v>
      </c>
      <c r="H38" s="41" t="str">
        <f>Setup!$B$10</f>
        <v>ΚΟΚΚΟΣΗ ΧΑΡΑ</v>
      </c>
    </row>
    <row r="39" spans="1:11">
      <c r="B39" s="26">
        <v>1</v>
      </c>
      <c r="C39" s="21"/>
      <c r="D39" s="22"/>
      <c r="E39" s="21"/>
    </row>
    <row r="40" spans="1:11">
      <c r="B40" s="26">
        <v>2</v>
      </c>
      <c r="C40" s="21"/>
      <c r="D40" s="22"/>
      <c r="E40" s="21"/>
    </row>
    <row r="41" spans="1:11">
      <c r="B41" s="26">
        <v>3</v>
      </c>
      <c r="C41" s="21"/>
      <c r="D41" s="22"/>
      <c r="E41" s="21"/>
    </row>
    <row r="42" spans="1:11">
      <c r="B42" s="26">
        <v>4</v>
      </c>
      <c r="C42" s="21"/>
      <c r="D42" s="22"/>
      <c r="E42" s="21"/>
      <c r="H42" s="23"/>
    </row>
    <row r="43" spans="1:11">
      <c r="B43" s="26">
        <v>5</v>
      </c>
      <c r="C43" s="21"/>
      <c r="D43" s="22"/>
      <c r="E43" s="21"/>
    </row>
  </sheetData>
  <sheetProtection password="CF33" sheet="1" objects="1" scenarios="1" formatCells="0" formatColumns="0" formatRows="0" sort="0"/>
  <sortState ref="B3:K34">
    <sortCondition descending="1" ref="I3:I34"/>
    <sortCondition ref="D3:D34"/>
  </sortState>
  <mergeCells count="2">
    <mergeCell ref="B37:D37"/>
    <mergeCell ref="A1:G1"/>
  </mergeCells>
  <phoneticPr fontId="1" type="noConversion"/>
  <conditionalFormatting sqref="C34 C32 C30">
    <cfRule type="expression" dxfId="5" priority="4" stopIfTrue="1">
      <formula>#REF!="CU"</formula>
    </cfRule>
  </conditionalFormatting>
  <conditionalFormatting sqref="E29:E33">
    <cfRule type="expression" dxfId="4" priority="5" stopIfTrue="1">
      <formula>AND(#REF!&lt;9,#REF!&gt;0)</formula>
    </cfRule>
  </conditionalFormatting>
  <conditionalFormatting sqref="D3:D28">
    <cfRule type="expression" dxfId="3" priority="3" stopIfTrue="1">
      <formula>AND(#REF!&lt;9,#REF!&gt;0)</formula>
    </cfRule>
  </conditionalFormatting>
  <conditionalFormatting sqref="F3:F28">
    <cfRule type="cellIs" dxfId="2" priority="1" stopIfTrue="1" operator="equal">
      <formula>"QA"</formula>
    </cfRule>
    <cfRule type="cellIs" dxfId="1" priority="2" stopIfTrue="1" operator="equal">
      <formula>"DA"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tabColor rgb="FFFFFF00"/>
    <pageSetUpPr fitToPage="1"/>
  </sheetPr>
  <dimension ref="A1:U75"/>
  <sheetViews>
    <sheetView showGridLines="0" showZeros="0" tabSelected="1" zoomScaleNormal="100" workbookViewId="0">
      <pane ySplit="1" topLeftCell="A2" activePane="bottomLeft" state="frozen"/>
      <selection pane="bottomLeft" activeCell="T22" sqref="T22"/>
    </sheetView>
  </sheetViews>
  <sheetFormatPr defaultColWidth="8.85546875" defaultRowHeight="11.25"/>
  <cols>
    <col min="1" max="1" width="2.42578125" style="51" bestFit="1" customWidth="1"/>
    <col min="2" max="2" width="2.28515625" style="51" hidden="1" customWidth="1"/>
    <col min="3" max="3" width="6" style="52" hidden="1" customWidth="1"/>
    <col min="4" max="4" width="5.28515625" style="53" hidden="1" customWidth="1"/>
    <col min="5" max="5" width="4.7109375" style="53" hidden="1" customWidth="1"/>
    <col min="6" max="6" width="3" style="51" hidden="1" customWidth="1"/>
    <col min="7" max="7" width="3.5703125" style="52" bestFit="1" customWidth="1"/>
    <col min="8" max="8" width="3.140625" style="52" bestFit="1" customWidth="1"/>
    <col min="9" max="9" width="6.28515625" style="54" customWidth="1"/>
    <col min="10" max="10" width="28.42578125" style="51" bestFit="1" customWidth="1"/>
    <col min="11" max="11" width="13.28515625" style="51" hidden="1" customWidth="1"/>
    <col min="12" max="12" width="19.140625" style="51" bestFit="1" customWidth="1"/>
    <col min="13" max="13" width="2.5703125" style="100" customWidth="1"/>
    <col min="14" max="14" width="15.85546875" style="51" bestFit="1" customWidth="1"/>
    <col min="15" max="15" width="1.42578125" style="72" bestFit="1" customWidth="1"/>
    <col min="16" max="16" width="15.85546875" style="51" bestFit="1" customWidth="1"/>
    <col min="17" max="17" width="1.42578125" style="72" bestFit="1" customWidth="1"/>
    <col min="18" max="18" width="15.85546875" style="59" bestFit="1" customWidth="1"/>
    <col min="19" max="19" width="1.42578125" style="70" bestFit="1" customWidth="1"/>
    <col min="20" max="20" width="15.85546875" style="59" bestFit="1" customWidth="1"/>
    <col min="21" max="21" width="8.85546875" style="59"/>
    <col min="22" max="16384" width="8.85546875" style="51"/>
  </cols>
  <sheetData>
    <row r="1" spans="1:21" s="48" customFormat="1" ht="18">
      <c r="A1" s="322" t="str">
        <f>Setup!B3 &amp; ", " &amp; Setup!B4 &amp; ", " &amp; Setup!B6 &amp; ", " &amp; Setup!B8 &amp; "-" &amp; Setup!B9</f>
        <v>ΣΤ' ΕΝΩΣΗ, Open Προπαιδικό U10, ΡΗΓΑΣ ΑΟΑΑ, 30/05/2026-31/05/2026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153"/>
      <c r="T1" s="154" t="str">
        <f>Setup!B7</f>
        <v>BOYS 10</v>
      </c>
      <c r="U1" s="47"/>
    </row>
    <row r="2" spans="1:21" s="164" customFormat="1">
      <c r="A2" s="162"/>
      <c r="B2" s="62">
        <f>Setup!B18</f>
        <v>15</v>
      </c>
      <c r="C2" s="62"/>
      <c r="D2" s="163"/>
      <c r="E2" s="163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6"/>
    </row>
    <row r="3" spans="1:21">
      <c r="J3" s="323">
        <v>32</v>
      </c>
      <c r="K3" s="323"/>
      <c r="L3" s="323"/>
      <c r="M3" s="55"/>
      <c r="N3" s="139">
        <v>16</v>
      </c>
      <c r="O3" s="56"/>
      <c r="P3" s="57">
        <v>8</v>
      </c>
      <c r="Q3" s="58"/>
      <c r="R3" s="57">
        <v>4</v>
      </c>
      <c r="S3" s="58"/>
      <c r="T3" s="57" t="s">
        <v>38</v>
      </c>
    </row>
    <row r="4" spans="1:21" s="52" customFormat="1">
      <c r="A4" s="143" t="s">
        <v>10</v>
      </c>
      <c r="B4" s="144"/>
      <c r="C4" s="145" t="s">
        <v>25</v>
      </c>
      <c r="D4" s="145" t="s">
        <v>34</v>
      </c>
      <c r="E4" s="145" t="s">
        <v>35</v>
      </c>
      <c r="F4" s="143" t="s">
        <v>21</v>
      </c>
      <c r="G4" s="143" t="s">
        <v>11</v>
      </c>
      <c r="H4" s="143" t="s">
        <v>46</v>
      </c>
      <c r="I4" s="143" t="s">
        <v>7</v>
      </c>
      <c r="J4" s="146" t="s">
        <v>6</v>
      </c>
      <c r="K4" s="145" t="s">
        <v>29</v>
      </c>
      <c r="L4" s="146" t="s">
        <v>9</v>
      </c>
      <c r="M4" s="50"/>
      <c r="O4" s="60"/>
      <c r="Q4" s="60"/>
      <c r="R4" s="61"/>
      <c r="S4" s="62"/>
      <c r="T4" s="61"/>
      <c r="U4" s="61"/>
    </row>
    <row r="5" spans="1:21" ht="12" customHeight="1">
      <c r="A5" s="147">
        <v>1</v>
      </c>
      <c r="B5" s="63">
        <v>1</v>
      </c>
      <c r="C5" s="64"/>
      <c r="D5" s="65"/>
      <c r="E5" s="66">
        <v>0</v>
      </c>
      <c r="F5" s="67">
        <f>IF(NOT($G5="-"),VLOOKUP($G5,DrawPrep!$A$3:$F$34,2,FALSE),"")</f>
        <v>0</v>
      </c>
      <c r="G5" s="68">
        <f>VLOOKUP($B5,Setup!$K$2:$L$33,2,FALSE)</f>
        <v>1</v>
      </c>
      <c r="H5" s="126">
        <f>IF($G5&gt;0,VLOOKUP($G5,DrawPrep!$A$3:$F$34,6,FALSE),0)</f>
        <v>0</v>
      </c>
      <c r="I5" s="115">
        <f>IF(Setup!$B$24="#",0,IF($G5&gt;0,VLOOKUP($G5,DrawPrep!$A$3:$F$34,3,FALSE),0))</f>
        <v>1</v>
      </c>
      <c r="J5" s="170" t="str">
        <f>IF($I5&gt;0,VLOOKUP($I5,DrawPrep!$C$3:$F$34,2,FALSE),"bye")</f>
        <v>ΣΑΡΡΗΣ ΔΗΜΗΤΡΗΣ</v>
      </c>
      <c r="K5" s="115" t="str">
        <f>IF(NOT(I5&gt;0),"", IF(ISERROR(FIND("-",J5)), LEFT(J5,FIND(" ",J5)-1), IF(FIND("-",J5)&gt;FIND(" ",J5),LEFT(J5,FIND(" ",J5)-1), LEFT(J5,FIND("-",J5)-1) )))</f>
        <v>ΣΑΡΡΗΣ</v>
      </c>
      <c r="L5" s="116" t="str">
        <f>IF($I5&gt;0,VLOOKUP($I5,DrawPrep!$C$3:$F$34,3,FALSE),"")</f>
        <v>ΡΗΓΑΣ ΑΟΑΑ</v>
      </c>
      <c r="M5" s="69">
        <v>1</v>
      </c>
      <c r="N5" s="118" t="str">
        <f>UPPER(IF($A$2="R",IF(OR(M5=1,M5="a"),I5,IF(OR(M5=2,M5="b"),I6,"")),IF(OR(M5=1,M5="1"),K5,IF(OR(M5=2,M5="b"),K6,""))))</f>
        <v>ΣΑΡΡΗΣ</v>
      </c>
      <c r="O5" s="70"/>
      <c r="P5" s="71"/>
      <c r="R5" s="71"/>
      <c r="T5" s="71"/>
    </row>
    <row r="6" spans="1:21" ht="12" customHeight="1">
      <c r="A6" s="148">
        <v>2</v>
      </c>
      <c r="B6" s="73">
        <f>1-D6+8</f>
        <v>8</v>
      </c>
      <c r="C6" s="74">
        <f>B5</f>
        <v>1</v>
      </c>
      <c r="D6" s="75">
        <f>E6</f>
        <v>1</v>
      </c>
      <c r="E6" s="76">
        <f>IF($B$2&gt;=C6,1,0)</f>
        <v>1</v>
      </c>
      <c r="F6" s="77" t="str">
        <f>IF(NOT($G6="-"),VLOOKUP($G6,DrawPrep!$A$3:$F$34,2,FALSE),"")</f>
        <v/>
      </c>
      <c r="G6" s="77" t="str">
        <f>IF($B$2&gt;=C6,"-",VLOOKUP($B6,Setup!$K$2:$L$33,2,FALSE))</f>
        <v>-</v>
      </c>
      <c r="H6" s="117">
        <f>IF(NOT($G6="-"),VLOOKUP($G6,DrawPrep!$A$3:$F$34,6,FALSE),0)</f>
        <v>0</v>
      </c>
      <c r="I6" s="118">
        <f>IF(Setup!$B$24="#",0,IF(NOT($G6="-"),VLOOKUP($G6,DrawPrep!$A$3:$F$34,3,FALSE),0))</f>
        <v>0</v>
      </c>
      <c r="J6" s="171" t="str">
        <f>IF($I6&gt;0,VLOOKUP($I6,DrawPrep!$C$3:$F$34,2,FALSE),"bye")</f>
        <v>bye</v>
      </c>
      <c r="K6" s="118" t="str">
        <f t="shared" ref="K6:K36" si="0">IF(NOT(I6&gt;0),"", IF(ISERROR(FIND("-",J6)), LEFT(J6,FIND(" ",J6)-1), IF(FIND("-",J6)&gt;FIND(" ",J6),LEFT(J6,FIND(" ",J6)-1), LEFT(J6,FIND("-",J6)-1) )))</f>
        <v/>
      </c>
      <c r="L6" s="119" t="str">
        <f>IF($I6&gt;0,VLOOKUP($I6,DrawPrep!$C$3:$F$34,3,FALSE),"")</f>
        <v/>
      </c>
      <c r="M6" s="78"/>
      <c r="N6" s="79"/>
      <c r="O6" s="69">
        <v>1</v>
      </c>
      <c r="P6" s="118" t="str">
        <f>UPPER(IF($A$2="R",IF(OR(O6=1,O6="a"),N5,IF(OR(O6=2,O6="b"),N7,"")),IF(OR(O6=1,O6="a"),N5,IF(OR(O6=2,O6="b"),N7,""))))</f>
        <v>ΣΑΡΡΗΣ</v>
      </c>
      <c r="Q6" s="70"/>
      <c r="R6" s="71"/>
      <c r="T6" s="71"/>
    </row>
    <row r="7" spans="1:21" ht="12" customHeight="1">
      <c r="A7" s="149">
        <v>3</v>
      </c>
      <c r="B7" s="73">
        <f>2-D7+8</f>
        <v>9</v>
      </c>
      <c r="C7" s="80"/>
      <c r="D7" s="75">
        <f>D6+E7</f>
        <v>1</v>
      </c>
      <c r="E7" s="81">
        <v>0</v>
      </c>
      <c r="F7" s="82">
        <f>IF(NOT($G7="-"),VLOOKUP($G7,DrawPrep!$A$3:$F$34,2,FALSE),"")</f>
        <v>0</v>
      </c>
      <c r="G7" s="82">
        <v>16</v>
      </c>
      <c r="H7" s="120">
        <f>IF($G7&gt;0,VLOOKUP($G7,DrawPrep!$A$3:$F$34,6,FALSE),0)</f>
        <v>0</v>
      </c>
      <c r="I7" s="121">
        <f>IF(Setup!$B$24="#",0,IF($G7&gt;0,VLOOKUP($G7,DrawPrep!$A$3:$F$34,3,FALSE),0))</f>
        <v>16</v>
      </c>
      <c r="J7" s="172" t="str">
        <f>IF($I7&gt;0,VLOOKUP($I7,DrawPrep!$C$3:$F$34,2,FALSE),"bye")</f>
        <v>ΠΑΠΑΧΑΤΖΗΣ ΓΙΩΡΓΟΣ</v>
      </c>
      <c r="K7" s="121" t="str">
        <f t="shared" si="0"/>
        <v>ΠΑΠΑΧΑΤΖΗΣ</v>
      </c>
      <c r="L7" s="122" t="str">
        <f>IF($I7&gt;0,VLOOKUP($I7,DrawPrep!$C$3:$F$34,3,FALSE),"")</f>
        <v>ΤΡΟΙΖΙΝΙΑΚΟΣ</v>
      </c>
      <c r="M7" s="69">
        <v>1</v>
      </c>
      <c r="N7" s="118" t="str">
        <f>UPPER(IF($A$2="R",IF(OR(M7=1,M7="a"),I7,IF(OR(M7=2,M7="b"),I8,"")),IF(OR(M7=1,M7="a"),K7,IF(OR(M7=2,M7="b"),K8,""))))</f>
        <v>ΠΑΠΑΧΑΤΖΗΣ</v>
      </c>
      <c r="O7" s="78"/>
      <c r="P7" s="349" t="s">
        <v>118</v>
      </c>
      <c r="Q7" s="70"/>
      <c r="R7" s="71"/>
      <c r="T7" s="71"/>
    </row>
    <row r="8" spans="1:21" ht="12" customHeight="1">
      <c r="A8" s="150">
        <v>4</v>
      </c>
      <c r="B8" s="73">
        <f>3-D8+8</f>
        <v>9</v>
      </c>
      <c r="C8" s="74">
        <v>15</v>
      </c>
      <c r="D8" s="75">
        <f t="shared" ref="D8:D36" si="1">D7+E8</f>
        <v>2</v>
      </c>
      <c r="E8" s="76">
        <f>IF($B$2&gt;=C8,1,0)</f>
        <v>1</v>
      </c>
      <c r="F8" s="83" t="str">
        <f>IF(NOT($G8="-"),VLOOKUP($G8,DrawPrep!$A$3:$F$34,2,FALSE),"")</f>
        <v/>
      </c>
      <c r="G8" s="83" t="str">
        <f>IF($B$2&gt;=C8,"-",VLOOKUP($B8,Setup!$K$2:$L$33,2,FALSE))</f>
        <v>-</v>
      </c>
      <c r="H8" s="123">
        <f>IF(NOT($G8="-"),VLOOKUP($G8,DrawPrep!$A$3:$F$34,6,FALSE),0)</f>
        <v>0</v>
      </c>
      <c r="I8" s="124">
        <f>IF(Setup!$B$24="#",0,IF(NOT($G8="-"),VLOOKUP($G8,DrawPrep!$A$3:$F$34,3,FALSE),0))</f>
        <v>0</v>
      </c>
      <c r="J8" s="173" t="str">
        <f>IF($I8&gt;0,VLOOKUP($I8,DrawPrep!$C$3:$F$34,2,FALSE),"bye")</f>
        <v>bye</v>
      </c>
      <c r="K8" s="124" t="str">
        <f t="shared" si="0"/>
        <v/>
      </c>
      <c r="L8" s="125" t="str">
        <f>IF($I8&gt;0,VLOOKUP($I8,DrawPrep!$C$3:$F$34,3,FALSE),"")</f>
        <v/>
      </c>
      <c r="M8" s="78"/>
      <c r="N8" s="53"/>
      <c r="O8" s="70"/>
      <c r="P8" s="84"/>
      <c r="Q8" s="85">
        <v>1</v>
      </c>
      <c r="R8" s="118" t="str">
        <f>UPPER(IF($A$2="R",IF(OR(Q8=1,Q8="a"),P6,IF(OR(Q8=2,Q8="b"),P10,"")),IF(OR(Q8=1,Q8="a"),P6,IF(OR(Q8=2,Q8="b"),P10,""))))</f>
        <v>ΣΑΡΡΗΣ</v>
      </c>
      <c r="T8" s="71"/>
    </row>
    <row r="9" spans="1:21" ht="12" customHeight="1">
      <c r="A9" s="147">
        <v>5</v>
      </c>
      <c r="B9" s="73">
        <f>4-D9+8</f>
        <v>10</v>
      </c>
      <c r="C9" s="80"/>
      <c r="D9" s="75">
        <f t="shared" si="1"/>
        <v>2</v>
      </c>
      <c r="E9" s="81">
        <v>0</v>
      </c>
      <c r="F9" s="67">
        <f>IF(NOT($G9="-"),VLOOKUP($G9,DrawPrep!$A$3:$F$34,2,FALSE),"")</f>
        <v>0</v>
      </c>
      <c r="G9" s="67">
        <f>VLOOKUP($B9,Setup!$K$2:$L$33,2,FALSE)</f>
        <v>15</v>
      </c>
      <c r="H9" s="126">
        <f>IF($G9&gt;0,VLOOKUP($G9,DrawPrep!$A$3:$F$34,6,FALSE),0)</f>
        <v>0</v>
      </c>
      <c r="I9" s="127">
        <f>IF(Setup!$B$24="#",0,IF($G9&gt;0,VLOOKUP($G9,DrawPrep!$A$3:$F$34,3,FALSE),0))</f>
        <v>15</v>
      </c>
      <c r="J9" s="174" t="str">
        <f>IF($I9&gt;0,VLOOKUP($I9,DrawPrep!$C$3:$F$34,2,FALSE),"bye")</f>
        <v>ΣΤΑΙΚΟΣ ΓΙΩΡΓΟΣ</v>
      </c>
      <c r="K9" s="127" t="str">
        <f t="shared" si="0"/>
        <v>ΣΤΑΙΚΟΣ</v>
      </c>
      <c r="L9" s="128" t="str">
        <f>IF($I9&gt;0,VLOOKUP($I9,DrawPrep!$C$3:$F$34,3,FALSE),"")</f>
        <v>ΤΡΟΙΖΙΝΙΑΚΟΣ</v>
      </c>
      <c r="M9" s="87">
        <v>1</v>
      </c>
      <c r="N9" s="118" t="str">
        <f>UPPER(IF($A$2="R",IF(OR(M9=1,M9="a"),I9,IF(OR(M9=2,M9="b"),I10,"")),IF(OR(M9=1,M9="a"),K9,IF(OR(M9=2,M9="b"),K10,""))))</f>
        <v>ΣΤΑΙΚΟΣ</v>
      </c>
      <c r="O9" s="70"/>
      <c r="P9" s="84"/>
      <c r="Q9" s="70"/>
      <c r="R9" s="349" t="s">
        <v>120</v>
      </c>
      <c r="T9" s="71"/>
    </row>
    <row r="10" spans="1:21" ht="12" customHeight="1">
      <c r="A10" s="148">
        <v>6</v>
      </c>
      <c r="B10" s="73">
        <f>5-D10+8</f>
        <v>10</v>
      </c>
      <c r="C10" s="74">
        <v>9</v>
      </c>
      <c r="D10" s="75">
        <f t="shared" si="1"/>
        <v>3</v>
      </c>
      <c r="E10" s="76">
        <f>IF($B$2&gt;=C10,1,0)</f>
        <v>1</v>
      </c>
      <c r="F10" s="77" t="str">
        <f>IF(NOT($G10="-"),VLOOKUP($G10,DrawPrep!$A$3:$F$34,2,FALSE),"")</f>
        <v/>
      </c>
      <c r="G10" s="77" t="str">
        <f>IF($B$2&gt;=C10,"-",VLOOKUP($B10,Setup!$K$2:$L$33,2,FALSE))</f>
        <v>-</v>
      </c>
      <c r="H10" s="117">
        <f>IF(NOT($G10="-"),VLOOKUP($G10,DrawPrep!$A$3:$F$34,6,FALSE),0)</f>
        <v>0</v>
      </c>
      <c r="I10" s="118">
        <f>IF(Setup!$B$24="#",0,IF(NOT($G10="-"),VLOOKUP($G10,DrawPrep!$A$3:$F$34,3,FALSE),0))</f>
        <v>0</v>
      </c>
      <c r="J10" s="171" t="str">
        <f>IF($I10&gt;0,VLOOKUP($I10,DrawPrep!$C$3:$F$34,2,FALSE),"bye")</f>
        <v>bye</v>
      </c>
      <c r="K10" s="118" t="str">
        <f t="shared" si="0"/>
        <v/>
      </c>
      <c r="L10" s="119" t="str">
        <f>IF($I10&gt;0,VLOOKUP($I10,DrawPrep!$C$3:$F$34,3,FALSE),"")</f>
        <v/>
      </c>
      <c r="M10" s="78"/>
      <c r="N10" s="79"/>
      <c r="O10" s="69">
        <v>2</v>
      </c>
      <c r="P10" s="118" t="str">
        <f>UPPER(IF($A$2="R",IF(OR(O10=1,O10="a"),N9,IF(OR(O10=2,O10="b"),N11,"")),IF(OR(O10=1,O10="a"),N9,IF(OR(O10=2,O10="b"),N11,""))))</f>
        <v>ΚΟΡΚΑΣ</v>
      </c>
      <c r="Q10" s="88"/>
      <c r="R10" s="84"/>
      <c r="T10" s="71"/>
    </row>
    <row r="11" spans="1:21" ht="12" customHeight="1">
      <c r="A11" s="149">
        <v>7</v>
      </c>
      <c r="B11" s="73">
        <f>6-D11+8</f>
        <v>10</v>
      </c>
      <c r="C11" s="74">
        <f>B12</f>
        <v>5</v>
      </c>
      <c r="D11" s="75">
        <f t="shared" si="1"/>
        <v>4</v>
      </c>
      <c r="E11" s="76">
        <f>IF($B$2&gt;=C11,1,0)</f>
        <v>1</v>
      </c>
      <c r="F11" s="82" t="str">
        <f>IF(NOT($G11="-"),VLOOKUP($G11,DrawPrep!$A$3:$F$34,2,FALSE),"")</f>
        <v/>
      </c>
      <c r="G11" s="82" t="str">
        <f>IF($B$2&gt;=C11,"-",VLOOKUP($B11,Setup!$K$2:$L$33,2,FALSE))</f>
        <v>-</v>
      </c>
      <c r="H11" s="120">
        <f>IF(NOT($G11="-"),VLOOKUP($G11,DrawPrep!$A$3:$F$34,6,FALSE),0)</f>
        <v>0</v>
      </c>
      <c r="I11" s="121">
        <f>IF(Setup!$B$24="#",0,IF(NOT($G11="-"),VLOOKUP($G11,DrawPrep!$A$3:$F$34,3,FALSE),0))</f>
        <v>0</v>
      </c>
      <c r="J11" s="172" t="str">
        <f>IF($I11&gt;0,VLOOKUP($I11,DrawPrep!$C$3:$F$34,2,FALSE),"bye")</f>
        <v>bye</v>
      </c>
      <c r="K11" s="121" t="str">
        <f t="shared" si="0"/>
        <v/>
      </c>
      <c r="L11" s="122" t="str">
        <f>IF($I11&gt;0,VLOOKUP($I11,DrawPrep!$C$3:$F$34,3,FALSE),"")</f>
        <v/>
      </c>
      <c r="M11" s="69">
        <v>2</v>
      </c>
      <c r="N11" s="118" t="str">
        <f>UPPER(IF($A$2="R",IF(OR(M11=1,M11="a"),I11,IF(OR(M11=2,M11="b"),I12,"")),IF(OR(M11=1,M11="a"),K11,IF(OR(M11=2,M11="b"),K12,""))))</f>
        <v>ΚΟΡΚΑΣ</v>
      </c>
      <c r="O11" s="78"/>
      <c r="P11" s="350" t="s">
        <v>119</v>
      </c>
      <c r="Q11" s="70"/>
      <c r="R11" s="84"/>
      <c r="S11" s="88"/>
      <c r="T11" s="71"/>
    </row>
    <row r="12" spans="1:21" ht="12" customHeight="1">
      <c r="A12" s="150">
        <v>8</v>
      </c>
      <c r="B12" s="89">
        <f>VALUE(Setup!E5)</f>
        <v>5</v>
      </c>
      <c r="C12" s="80"/>
      <c r="D12" s="75">
        <f t="shared" si="1"/>
        <v>4</v>
      </c>
      <c r="E12" s="81">
        <v>0</v>
      </c>
      <c r="F12" s="83">
        <f>IF(NOT($G12="-"),VLOOKUP($G12,DrawPrep!$A$3:$F$34,2,FALSE),"")</f>
        <v>0</v>
      </c>
      <c r="G12" s="90">
        <f>VLOOKUP($B12,Setup!$K$2:$L$33,2,FALSE)</f>
        <v>5</v>
      </c>
      <c r="H12" s="123">
        <f>IF($G12&gt;0,VLOOKUP($G12,DrawPrep!$A$3:$F$34,6,FALSE),0)</f>
        <v>0</v>
      </c>
      <c r="I12" s="129">
        <f>IF(Setup!$B$24="#",0,IF($G12&gt;0,VLOOKUP($G12,DrawPrep!$A$3:$F$34,3,FALSE),0))</f>
        <v>5</v>
      </c>
      <c r="J12" s="175" t="str">
        <f>IF($I12&gt;0,VLOOKUP($I12,DrawPrep!$C$3:$F$34,2,FALSE),"bye")</f>
        <v>ΚΟΡΚΑΣ ΑΝΑΣΤΑΣΙΟΣ</v>
      </c>
      <c r="K12" s="129" t="str">
        <f t="shared" si="0"/>
        <v>ΚΟΡΚΑΣ</v>
      </c>
      <c r="L12" s="130" t="str">
        <f>IF($I12&gt;0,VLOOKUP($I12,DrawPrep!$C$3:$F$34,3,FALSE),"")</f>
        <v>ΑΟΑ ΣΙΚΥΩΝΟΣ ΚΙΑΤΟΥ</v>
      </c>
      <c r="M12" s="78"/>
      <c r="N12" s="86"/>
      <c r="P12" s="71"/>
      <c r="R12" s="71"/>
      <c r="S12" s="69">
        <v>1</v>
      </c>
      <c r="T12" s="117" t="str">
        <f>UPPER(IF($A$2="R",IF(OR(S12=1,S12="a"),R8,IF(OR(S12=2,S12="b"),R16,"")),IF(OR(S12=1,S12="a"),R8,IF(OR(S12=2,S12="b"),R16,""))))</f>
        <v>ΣΑΡΡΗΣ</v>
      </c>
    </row>
    <row r="13" spans="1:21" ht="12" customHeight="1">
      <c r="A13" s="151">
        <v>9</v>
      </c>
      <c r="B13" s="91">
        <f>VALUE(Setup!E2)</f>
        <v>3</v>
      </c>
      <c r="C13" s="80"/>
      <c r="D13" s="75">
        <f t="shared" si="1"/>
        <v>4</v>
      </c>
      <c r="E13" s="81">
        <v>0</v>
      </c>
      <c r="F13" s="61">
        <f>IF(NOT($G13="-"),VLOOKUP($G13,DrawPrep!$A$3:$F$34,2,FALSE),"")</f>
        <v>0</v>
      </c>
      <c r="G13" s="92">
        <f>VLOOKUP($B13,Setup!$K$2:$L$33,2,FALSE)</f>
        <v>3</v>
      </c>
      <c r="H13" s="133">
        <f>IF($G13&gt;0,VLOOKUP($G13,DrawPrep!$A$3:$F$34,6,FALSE),0)</f>
        <v>0</v>
      </c>
      <c r="I13" s="131">
        <f>IF(Setup!$B$24="#",0,IF($G13&gt;0,VLOOKUP($G13,DrawPrep!$A$3:$F$34,3,FALSE),0))</f>
        <v>3</v>
      </c>
      <c r="J13" s="176" t="str">
        <f>IF($I13&gt;0,VLOOKUP($I13,DrawPrep!$C$3:$F$34,2,FALSE),"bye")</f>
        <v>ΜΑΓΟΥΛΑΣ ΑΚΗΣ</v>
      </c>
      <c r="K13" s="131" t="str">
        <f t="shared" si="0"/>
        <v>ΜΑΓΟΥΛΑΣ</v>
      </c>
      <c r="L13" s="132" t="str">
        <f>IF($I13&gt;0,VLOOKUP($I13,DrawPrep!$C$3:$F$34,3,FALSE),"")</f>
        <v>ΡΗΓΑΣ ΑΟΑΑ</v>
      </c>
      <c r="M13" s="69">
        <v>1</v>
      </c>
      <c r="N13" s="118" t="str">
        <f>UPPER(IF($A$2="R",IF(OR(M13=1,M13="a"),I13,IF(OR(M13=2,M13="b"),I14,"")),IF(OR(M13=1,M13="a"),K13,IF(OR(M13=2,M13="b"),K14,""))))</f>
        <v>ΜΑΓΟΥΛΑΣ</v>
      </c>
      <c r="O13" s="70"/>
      <c r="P13" s="71"/>
      <c r="R13" s="71"/>
      <c r="S13" s="88"/>
      <c r="T13" s="352" t="s">
        <v>127</v>
      </c>
    </row>
    <row r="14" spans="1:21" ht="12" customHeight="1">
      <c r="A14" s="151">
        <v>10</v>
      </c>
      <c r="B14" s="73">
        <f>7-D14+8</f>
        <v>10</v>
      </c>
      <c r="C14" s="94">
        <f>B13</f>
        <v>3</v>
      </c>
      <c r="D14" s="75">
        <f t="shared" si="1"/>
        <v>5</v>
      </c>
      <c r="E14" s="76">
        <f>IF($B$2&gt;=C14,1,0)</f>
        <v>1</v>
      </c>
      <c r="F14" s="61" t="str">
        <f>IF(NOT($G14="-"),VLOOKUP($G14,DrawPrep!$A$3:$F$34,2,FALSE),"")</f>
        <v/>
      </c>
      <c r="G14" s="61" t="str">
        <f>IF($B$2&gt;=C14,"-",VLOOKUP($B14,Setup!$K$2:$L$33,2,FALSE))</f>
        <v>-</v>
      </c>
      <c r="H14" s="133">
        <f>IF(NOT($G14="-"),VLOOKUP($G14,DrawPrep!$A$3:$F$34,6,FALSE),0)</f>
        <v>0</v>
      </c>
      <c r="I14" s="134">
        <f>IF(Setup!$B$24="#",0,IF(NOT($G14="-"),VLOOKUP($G14,DrawPrep!$A$3:$F$34,3,FALSE),0))</f>
        <v>0</v>
      </c>
      <c r="J14" s="177" t="str">
        <f>IF($I14&gt;0,VLOOKUP($I14,DrawPrep!$C$3:$F$34,2,FALSE),"bye")</f>
        <v>bye</v>
      </c>
      <c r="K14" s="134" t="str">
        <f t="shared" si="0"/>
        <v/>
      </c>
      <c r="L14" s="135" t="str">
        <f>IF($I14&gt;0,VLOOKUP($I14,DrawPrep!$C$3:$F$34,3,FALSE),"")</f>
        <v/>
      </c>
      <c r="M14" s="78"/>
      <c r="N14" s="79"/>
      <c r="O14" s="69">
        <v>1</v>
      </c>
      <c r="P14" s="118" t="str">
        <f>UPPER(IF($A$2="R",IF(OR(O14=1,O14="a"),N13,IF(OR(O14=2,O14="b"),N15,"")),IF(OR(O14=1,O14="a"),N13,IF(OR(O14=2,O14="b"),N15,""))))</f>
        <v>ΜΑΓΟΥΛΑΣ</v>
      </c>
      <c r="Q14" s="70"/>
      <c r="R14" s="71"/>
      <c r="S14" s="88"/>
      <c r="T14" s="96"/>
    </row>
    <row r="15" spans="1:21" ht="12" customHeight="1">
      <c r="A15" s="149">
        <v>11</v>
      </c>
      <c r="B15" s="73">
        <f>8-D15+8</f>
        <v>11</v>
      </c>
      <c r="C15" s="80"/>
      <c r="D15" s="75">
        <f t="shared" si="1"/>
        <v>5</v>
      </c>
      <c r="E15" s="81">
        <v>0</v>
      </c>
      <c r="F15" s="82">
        <f>IF(NOT($G15="-"),VLOOKUP($G15,DrawPrep!$A$3:$F$34,2,FALSE),"")</f>
        <v>0</v>
      </c>
      <c r="G15" s="82">
        <f>VLOOKUP($B15,Setup!$K$2:$L$33,2,FALSE)</f>
        <v>11</v>
      </c>
      <c r="H15" s="120">
        <f>IF($G15&gt;0,VLOOKUP($G15,DrawPrep!$A$3:$F$34,6,FALSE),0)</f>
        <v>0</v>
      </c>
      <c r="I15" s="121">
        <f>IF(Setup!$B$24="#",0,IF($G15&gt;0,VLOOKUP($G15,DrawPrep!$A$3:$F$34,3,FALSE),0))</f>
        <v>11</v>
      </c>
      <c r="J15" s="172" t="str">
        <f>IF($I15&gt;0,VLOOKUP($I15,DrawPrep!$C$3:$F$34,2,FALSE),"bye")</f>
        <v>ΤΖΩΡΤΖΑΤΟΣ ΔΗΜΗΤΡΗΣ</v>
      </c>
      <c r="K15" s="121" t="str">
        <f t="shared" si="0"/>
        <v>ΤΖΩΡΤΖΑΤΟΣ</v>
      </c>
      <c r="L15" s="122">
        <f>IF($I15&gt;0,VLOOKUP($I15,DrawPrep!$C$3:$F$34,3,FALSE),"")</f>
        <v>0</v>
      </c>
      <c r="M15" s="69">
        <v>1</v>
      </c>
      <c r="N15" s="118" t="str">
        <f>UPPER(IF($A$2="R",IF(OR(M15=1,M15="a"),I15,IF(OR(M15=2,M15="b"),I16,"")),IF(OR(M15=1,M15="a"),K15,IF(OR(M15=2,M15="b"),K16,""))))</f>
        <v>ΤΖΩΡΤΖΑΤΟΣ</v>
      </c>
      <c r="O15" s="78"/>
      <c r="P15" s="349" t="s">
        <v>120</v>
      </c>
      <c r="Q15" s="70"/>
      <c r="R15" s="71"/>
      <c r="S15" s="88"/>
      <c r="T15" s="96"/>
    </row>
    <row r="16" spans="1:21" ht="12" customHeight="1">
      <c r="A16" s="150">
        <v>12</v>
      </c>
      <c r="B16" s="73">
        <f>9-D16+8</f>
        <v>11</v>
      </c>
      <c r="C16" s="74">
        <v>13</v>
      </c>
      <c r="D16" s="75">
        <f t="shared" si="1"/>
        <v>6</v>
      </c>
      <c r="E16" s="76">
        <f>IF($B$2&gt;=C16,1,0)</f>
        <v>1</v>
      </c>
      <c r="F16" s="83" t="str">
        <f>IF(NOT($G16="-"),VLOOKUP($G16,DrawPrep!$A$3:$F$34,2,FALSE),"")</f>
        <v/>
      </c>
      <c r="G16" s="83" t="str">
        <f>IF($B$2&gt;=C16,"-",VLOOKUP($B16,Setup!$K$2:$L$33,2,FALSE))</f>
        <v>-</v>
      </c>
      <c r="H16" s="123">
        <f>IF(NOT($G16="-"),VLOOKUP($G16,DrawPrep!$A$3:$F$34,6,FALSE),0)</f>
        <v>0</v>
      </c>
      <c r="I16" s="124">
        <f>IF(Setup!$B$24="#",0,IF(NOT($G16="-"),VLOOKUP($G16,DrawPrep!$A$3:$F$34,3,FALSE),0))</f>
        <v>0</v>
      </c>
      <c r="J16" s="173" t="str">
        <f>IF($I16&gt;0,VLOOKUP($I16,DrawPrep!$C$3:$F$34,2,FALSE),"bye")</f>
        <v>bye</v>
      </c>
      <c r="K16" s="124" t="str">
        <f t="shared" si="0"/>
        <v/>
      </c>
      <c r="L16" s="125" t="str">
        <f>IF($I16&gt;0,VLOOKUP($I16,DrawPrep!$C$3:$F$34,3,FALSE),"")</f>
        <v/>
      </c>
      <c r="M16" s="95"/>
      <c r="N16" s="86"/>
      <c r="O16" s="70"/>
      <c r="P16" s="84"/>
      <c r="Q16" s="85">
        <v>2</v>
      </c>
      <c r="R16" s="118" t="str">
        <f>UPPER(IF($A$2="R",IF(OR(Q16=1,Q16="a"),P14,IF(OR(Q16=2,Q16="b"),P18,"")),IF(OR(Q16=1,Q16="a"),P14,IF(OR(Q16=2,Q16="b"),P18,""))))</f>
        <v>ΣΟΥΝΤΑΣ</v>
      </c>
      <c r="S16" s="88"/>
      <c r="T16" s="96"/>
    </row>
    <row r="17" spans="1:20" s="51" customFormat="1" ht="12">
      <c r="A17" s="151">
        <v>13</v>
      </c>
      <c r="B17" s="73">
        <f>10-D17+8</f>
        <v>12</v>
      </c>
      <c r="C17" s="80"/>
      <c r="D17" s="75">
        <f t="shared" si="1"/>
        <v>6</v>
      </c>
      <c r="E17" s="81">
        <v>0</v>
      </c>
      <c r="F17" s="61">
        <f>IF(NOT($G17="-"),VLOOKUP($G17,DrawPrep!$A$3:$F$34,2,FALSE),"")</f>
        <v>0</v>
      </c>
      <c r="G17" s="61">
        <v>10</v>
      </c>
      <c r="H17" s="133">
        <f>IF($G17&gt;0,VLOOKUP($G17,DrawPrep!$A$3:$F$34,6,FALSE),0)</f>
        <v>0</v>
      </c>
      <c r="I17" s="134">
        <f>IF(Setup!$B$24="#",0,IF($G17&gt;0,VLOOKUP($G17,DrawPrep!$A$3:$F$34,3,FALSE),0))</f>
        <v>10</v>
      </c>
      <c r="J17" s="177" t="str">
        <f>IF($I17&gt;0,VLOOKUP($I17,DrawPrep!$C$3:$F$34,2,FALSE),"bye")</f>
        <v>ΠΟΥΛΙΚΑΡΑΚΟΣ ΝΙΚΟΛΑΟΣ</v>
      </c>
      <c r="K17" s="134" t="str">
        <f t="shared" si="0"/>
        <v>ΠΟΥΛΙΚΑΡΑΚΟΣ</v>
      </c>
      <c r="L17" s="135" t="str">
        <f>IF($I17&gt;0,VLOOKUP($I17,DrawPrep!$C$3:$F$34,3,FALSE),"")</f>
        <v>ΟΑ ΚΑΛΑΜΑΤΑΣ</v>
      </c>
      <c r="M17" s="69">
        <v>1</v>
      </c>
      <c r="N17" s="118" t="str">
        <f>UPPER(IF($A$2="R",IF(OR(M17=1,M17="a"),I17,IF(OR(M17=2,M17="b"),I18,"")),IF(OR(M17=1,M17="a"),K17,IF(OR(M17=2,M17="b"),K18,""))))</f>
        <v>ΠΟΥΛΙΚΑΡΑΚΟΣ</v>
      </c>
      <c r="O17" s="70"/>
      <c r="P17" s="84"/>
      <c r="Q17" s="70"/>
      <c r="R17" s="350" t="s">
        <v>126</v>
      </c>
      <c r="S17" s="70"/>
      <c r="T17" s="96"/>
    </row>
    <row r="18" spans="1:20" s="51" customFormat="1" ht="12">
      <c r="A18" s="151">
        <v>14</v>
      </c>
      <c r="B18" s="73">
        <f>11-D18+8</f>
        <v>12</v>
      </c>
      <c r="C18" s="74">
        <v>11</v>
      </c>
      <c r="D18" s="75">
        <f t="shared" si="1"/>
        <v>7</v>
      </c>
      <c r="E18" s="76">
        <f>IF($B$2&gt;=C18,1,0)</f>
        <v>1</v>
      </c>
      <c r="F18" s="61" t="str">
        <f>IF(NOT($G18="-"),VLOOKUP($G18,DrawPrep!$A$3:$F$34,2,FALSE),"")</f>
        <v/>
      </c>
      <c r="G18" s="61" t="str">
        <f>IF($B$2&gt;=C18,"-",VLOOKUP($B18,Setup!$K$2:$L$33,2,FALSE))</f>
        <v>-</v>
      </c>
      <c r="H18" s="133">
        <f>IF(NOT($G18="-"),VLOOKUP($G18,DrawPrep!$A$3:$F$34,6,FALSE),0)</f>
        <v>0</v>
      </c>
      <c r="I18" s="134">
        <f>IF(Setup!$B$24="#",0,IF(NOT($G18="-"),VLOOKUP($G18,DrawPrep!$A$3:$F$34,3,FALSE),0))</f>
        <v>0</v>
      </c>
      <c r="J18" s="177" t="str">
        <f>IF($I18&gt;0,VLOOKUP($I18,DrawPrep!$C$3:$F$34,2,FALSE),"bye")</f>
        <v>bye</v>
      </c>
      <c r="K18" s="134" t="str">
        <f t="shared" si="0"/>
        <v/>
      </c>
      <c r="L18" s="135" t="str">
        <f>IF($I18&gt;0,VLOOKUP($I18,DrawPrep!$C$3:$F$34,3,FALSE),"")</f>
        <v/>
      </c>
      <c r="M18" s="78"/>
      <c r="N18" s="79"/>
      <c r="O18" s="69">
        <v>2</v>
      </c>
      <c r="P18" s="118" t="str">
        <f>UPPER(IF($A$2="R",IF(OR(O18=1,O18="a"),N17,IF(OR(O18=2,O18="b"),N19,"")),IF(OR(O18=1,O18="a"),N17,IF(OR(O18=2,O18="b"),N19,""))))</f>
        <v>ΣΟΥΝΤΑΣ</v>
      </c>
      <c r="Q18" s="88"/>
      <c r="R18" s="71"/>
      <c r="S18" s="70"/>
      <c r="T18" s="96"/>
    </row>
    <row r="19" spans="1:20" s="51" customFormat="1" ht="12">
      <c r="A19" s="149">
        <v>15</v>
      </c>
      <c r="B19" s="73">
        <f>12-D19+8</f>
        <v>12</v>
      </c>
      <c r="C19" s="74">
        <f>B20</f>
        <v>8</v>
      </c>
      <c r="D19" s="75">
        <f t="shared" si="1"/>
        <v>8</v>
      </c>
      <c r="E19" s="76">
        <f>IF($B$2&gt;=C19,1,0)</f>
        <v>1</v>
      </c>
      <c r="F19" s="82" t="str">
        <f>IF(NOT($G19="-"),VLOOKUP($G19,DrawPrep!$A$3:$F$34,2,FALSE),"")</f>
        <v/>
      </c>
      <c r="G19" s="82" t="str">
        <f>IF($B$2&gt;=C19,"-",VLOOKUP($B19,Setup!$K$2:$L$33,2,FALSE))</f>
        <v>-</v>
      </c>
      <c r="H19" s="120">
        <f>IF(NOT($G19="-"),VLOOKUP($G19,DrawPrep!$A$3:$F$34,6,FALSE),0)</f>
        <v>0</v>
      </c>
      <c r="I19" s="121">
        <f>IF(Setup!$B$24="#",0,IF(NOT($G19="-"),VLOOKUP($G19,DrawPrep!$A$3:$F$34,3,FALSE),0))</f>
        <v>0</v>
      </c>
      <c r="J19" s="172" t="str">
        <f>IF($I19&gt;0,VLOOKUP($I19,DrawPrep!$C$3:$F$34,2,FALSE),"bye")</f>
        <v>bye</v>
      </c>
      <c r="K19" s="121" t="str">
        <f t="shared" si="0"/>
        <v/>
      </c>
      <c r="L19" s="122" t="str">
        <f>IF($I19&gt;0,VLOOKUP($I19,DrawPrep!$C$3:$F$34,3,FALSE),"")</f>
        <v/>
      </c>
      <c r="M19" s="69">
        <v>2</v>
      </c>
      <c r="N19" s="118" t="str">
        <f>UPPER(IF($A$2="R",IF(OR(M19=1,M19="a"),I19,IF(OR(M19=2,M19="b"),I20,"")),IF(OR(M19=1,M19="a"),K19,IF(OR(M19=2,M19="b"),K20,""))))</f>
        <v>ΣΟΥΝΤΑΣ</v>
      </c>
      <c r="O19" s="78"/>
      <c r="P19" s="350" t="s">
        <v>121</v>
      </c>
      <c r="Q19" s="70"/>
      <c r="R19" s="71"/>
      <c r="S19" s="70"/>
      <c r="T19" s="96"/>
    </row>
    <row r="20" spans="1:20" s="51" customFormat="1" ht="12">
      <c r="A20" s="150">
        <v>16</v>
      </c>
      <c r="B20" s="63">
        <f>VALUE(Setup!E6)</f>
        <v>8</v>
      </c>
      <c r="C20" s="80"/>
      <c r="D20" s="75">
        <f t="shared" si="1"/>
        <v>8</v>
      </c>
      <c r="E20" s="81">
        <v>0</v>
      </c>
      <c r="F20" s="83">
        <f>IF(NOT($G20="-"),VLOOKUP($G20,DrawPrep!$A$3:$F$34,2,FALSE),"")</f>
        <v>0</v>
      </c>
      <c r="G20" s="90">
        <f>VLOOKUP($B20,Setup!$K$2:$L$33,2,FALSE)</f>
        <v>8</v>
      </c>
      <c r="H20" s="123">
        <f>IF($G20&gt;0,VLOOKUP($G20,DrawPrep!$A$3:$F$34,6,FALSE),0)</f>
        <v>0</v>
      </c>
      <c r="I20" s="129">
        <f>IF(Setup!$B$24="#",0,IF($G20&gt;0,VLOOKUP($G20,DrawPrep!$A$3:$F$34,3,FALSE),0))</f>
        <v>8</v>
      </c>
      <c r="J20" s="175" t="str">
        <f>IF($I20&gt;0,VLOOKUP($I20,DrawPrep!$C$3:$F$34,2,FALSE),"bye")</f>
        <v>ΣΟΥΝΤΑΣ ΣΤΑΥΡΟΣ</v>
      </c>
      <c r="K20" s="129" t="str">
        <f t="shared" si="0"/>
        <v>ΣΟΥΝΤΑΣ</v>
      </c>
      <c r="L20" s="130" t="str">
        <f>IF($I20&gt;0,VLOOKUP($I20,DrawPrep!$C$3:$F$34,3,FALSE),"")</f>
        <v>ΑΕΚ ΤΡΙΠΟΛΗΣ</v>
      </c>
      <c r="M20" s="78"/>
      <c r="N20" s="86"/>
      <c r="O20" s="70"/>
      <c r="P20" s="71"/>
      <c r="Q20" s="70"/>
      <c r="R20" s="71"/>
      <c r="S20" s="49">
        <v>2</v>
      </c>
      <c r="T20" s="159" t="str">
        <f>UPPER(IF($A$2="R",IF(OR(S20=1,S20="a"),T12,IF(OR(S20=2,S20="b"),T28,"")),IF(OR(S20=1,S20="a"),T12,IF(OR(S20=2,S20="b"),T28,""))))</f>
        <v>ΑΝΤΩΝΟΠΟΥΛΟΣ</v>
      </c>
    </row>
    <row r="21" spans="1:20" s="51" customFormat="1" ht="12">
      <c r="A21" s="151">
        <v>17</v>
      </c>
      <c r="B21" s="63">
        <f>VALUE(Setup!E7)</f>
        <v>6</v>
      </c>
      <c r="C21" s="80"/>
      <c r="D21" s="75">
        <f t="shared" si="1"/>
        <v>8</v>
      </c>
      <c r="E21" s="81">
        <v>0</v>
      </c>
      <c r="F21" s="61">
        <f>IF(NOT($G21="-"),VLOOKUP($G21,DrawPrep!$A$3:$F$34,2,FALSE),"")</f>
        <v>0</v>
      </c>
      <c r="G21" s="92">
        <f>VLOOKUP($B21,Setup!$K$2:$L$33,2,FALSE)</f>
        <v>6</v>
      </c>
      <c r="H21" s="133">
        <f>IF($G21&gt;0,VLOOKUP($G21,DrawPrep!$A$3:$F$34,6,FALSE),0)</f>
        <v>0</v>
      </c>
      <c r="I21" s="131">
        <f>IF(Setup!$B$24="#",0,IF($G21&gt;0,VLOOKUP($G21,DrawPrep!$A$3:$F$34,3,FALSE),0))</f>
        <v>6</v>
      </c>
      <c r="J21" s="176" t="str">
        <f>IF($I21&gt;0,VLOOKUP($I21,DrawPrep!$C$3:$F$34,2,FALSE),"bye")</f>
        <v>ΛΕΚΚΑΣ ΑΝΑΣΤΑΣΙΟΣ</v>
      </c>
      <c r="K21" s="131" t="str">
        <f t="shared" si="0"/>
        <v>ΛΕΚΚΑΣ</v>
      </c>
      <c r="L21" s="132" t="str">
        <f>IF($I21&gt;0,VLOOKUP($I21,DrawPrep!$C$3:$F$34,3,FALSE),"")</f>
        <v>ΟΑ ΚΟΡΙΝΘΟΥ</v>
      </c>
      <c r="M21" s="69">
        <v>1</v>
      </c>
      <c r="N21" s="118" t="str">
        <f>UPPER(IF($A$2="R",IF(OR(M21=1,M21="a"),I21,IF(OR(M21=2,M21="b"),I22,"")),IF(OR(M21=1,M21="a"),K21,IF(OR(M21=2,M21="b"),K22,""))))</f>
        <v>ΛΕΚΚΑΣ</v>
      </c>
      <c r="O21" s="70"/>
      <c r="P21" s="71"/>
      <c r="Q21" s="72"/>
      <c r="R21" s="71"/>
      <c r="S21" s="70"/>
      <c r="T21" s="353" t="s">
        <v>120</v>
      </c>
    </row>
    <row r="22" spans="1:20" s="51" customFormat="1" ht="12">
      <c r="A22" s="148">
        <v>18</v>
      </c>
      <c r="B22" s="73">
        <f>13-D22+8</f>
        <v>12</v>
      </c>
      <c r="C22" s="74">
        <f>B21</f>
        <v>6</v>
      </c>
      <c r="D22" s="75">
        <f t="shared" si="1"/>
        <v>9</v>
      </c>
      <c r="E22" s="76">
        <f>IF($B$2&gt;=C22,1,0)</f>
        <v>1</v>
      </c>
      <c r="F22" s="77" t="str">
        <f>IF(NOT($G22="-"),VLOOKUP($G22,DrawPrep!$A$3:$F$34,2,FALSE),"")</f>
        <v/>
      </c>
      <c r="G22" s="77" t="str">
        <f>IF($B$2&gt;=C22,"-",VLOOKUP($B22,Setup!$K$2:$L$33,2,FALSE))</f>
        <v>-</v>
      </c>
      <c r="H22" s="117">
        <f>IF(NOT($G22="-"),VLOOKUP($G22,DrawPrep!$A$3:$F$34,6,FALSE),0)</f>
        <v>0</v>
      </c>
      <c r="I22" s="118">
        <f>IF(Setup!$B$24="#",0,IF(NOT($G22="-"),VLOOKUP($G22,DrawPrep!$A$3:$F$34,3,FALSE),0))</f>
        <v>0</v>
      </c>
      <c r="J22" s="171" t="str">
        <f>IF($I22&gt;0,VLOOKUP($I22,DrawPrep!$C$3:$F$34,2,FALSE),"bye")</f>
        <v>bye</v>
      </c>
      <c r="K22" s="118" t="str">
        <f t="shared" si="0"/>
        <v/>
      </c>
      <c r="L22" s="119" t="str">
        <f>IF($I22&gt;0,VLOOKUP($I22,DrawPrep!$C$3:$F$34,3,FALSE),"")</f>
        <v/>
      </c>
      <c r="M22" s="78"/>
      <c r="N22" s="79"/>
      <c r="O22" s="69">
        <v>1</v>
      </c>
      <c r="P22" s="118" t="str">
        <f>UPPER(IF($A$2="R",IF(OR(O22=1,O22="a"),N21,IF(OR(O22=2,O22="b"),N23,"")),IF(OR(O22=1,O22="a"),N21,IF(OR(O22=2,O22="b"),N23,""))))</f>
        <v>ΛΕΚΚΑΣ</v>
      </c>
      <c r="Q22" s="70"/>
      <c r="R22" s="71"/>
      <c r="S22" s="70"/>
      <c r="T22" s="96"/>
    </row>
    <row r="23" spans="1:20" s="51" customFormat="1" ht="12">
      <c r="A23" s="149">
        <v>19</v>
      </c>
      <c r="B23" s="73">
        <f>14-D23+8</f>
        <v>13</v>
      </c>
      <c r="C23" s="80"/>
      <c r="D23" s="75">
        <f t="shared" si="1"/>
        <v>9</v>
      </c>
      <c r="E23" s="81">
        <v>0</v>
      </c>
      <c r="F23" s="82">
        <f>IF(NOT($G23="-"),VLOOKUP($G23,DrawPrep!$A$3:$F$34,2,FALSE),"")</f>
        <v>0</v>
      </c>
      <c r="G23" s="82">
        <f>VLOOKUP($B23,Setup!$K$2:$L$33,2,FALSE)</f>
        <v>9</v>
      </c>
      <c r="H23" s="120">
        <f>IF($G23&gt;0,VLOOKUP($G23,DrawPrep!$A$3:$F$34,6,FALSE),0)</f>
        <v>0</v>
      </c>
      <c r="I23" s="121">
        <f>IF(Setup!$B$24="#",0,IF($G23&gt;0,VLOOKUP($G23,DrawPrep!$A$3:$F$34,3,FALSE),0))</f>
        <v>9</v>
      </c>
      <c r="J23" s="172" t="str">
        <f>IF($I23&gt;0,VLOOKUP($I23,DrawPrep!$C$3:$F$34,2,FALSE),"bye")</f>
        <v>ΣΠΗΛΙΟΠΟΥΛΟΣ ΝΙΚΟΛΑΟΣ</v>
      </c>
      <c r="K23" s="121" t="str">
        <f t="shared" si="0"/>
        <v>ΣΠΗΛΙΟΠΟΥΛΟΣ</v>
      </c>
      <c r="L23" s="122" t="str">
        <f>IF($I23&gt;0,VLOOKUP($I23,DrawPrep!$C$3:$F$34,3,FALSE),"")</f>
        <v>ΑΕΤ ΝΙΚΗ ΠΑΤΡΩΝ</v>
      </c>
      <c r="M23" s="69">
        <v>1</v>
      </c>
      <c r="N23" s="118" t="str">
        <f>UPPER(IF($A$2="R",IF(OR(M23=1,M23="a"),I23,IF(OR(M23=2,M23="b"),I24,"")),IF(OR(M23=1,M23="a"),K23,IF(OR(M23=2,M23="b"),K24,""))))</f>
        <v>ΣΠΗΛΙΟΠΟΥΛΟΣ</v>
      </c>
      <c r="O23" s="78"/>
      <c r="P23" s="349" t="s">
        <v>122</v>
      </c>
      <c r="Q23" s="70"/>
      <c r="R23" s="71"/>
      <c r="S23" s="70"/>
      <c r="T23" s="96"/>
    </row>
    <row r="24" spans="1:20" s="51" customFormat="1" ht="12">
      <c r="A24" s="150">
        <v>20</v>
      </c>
      <c r="B24" s="73">
        <f>15-D24+8</f>
        <v>13</v>
      </c>
      <c r="C24" s="74">
        <v>12</v>
      </c>
      <c r="D24" s="75">
        <f t="shared" si="1"/>
        <v>10</v>
      </c>
      <c r="E24" s="76">
        <f>IF($B$2&gt;=C24,1,0)</f>
        <v>1</v>
      </c>
      <c r="F24" s="83" t="str">
        <f>IF(NOT($G24="-"),VLOOKUP($G24,DrawPrep!$A$3:$F$34,2,FALSE),"")</f>
        <v/>
      </c>
      <c r="G24" s="83" t="str">
        <f>IF($B$2&gt;=C24,"-",VLOOKUP($B24,Setup!$K$2:$L$33,2,FALSE))</f>
        <v>-</v>
      </c>
      <c r="H24" s="123">
        <f>IF(NOT($G24="-"),VLOOKUP($G24,DrawPrep!$A$3:$F$34,6,FALSE),0)</f>
        <v>0</v>
      </c>
      <c r="I24" s="124">
        <f>IF(Setup!$B$24="#",0,IF(NOT($G24="-"),VLOOKUP($G24,DrawPrep!$A$3:$F$34,3,FALSE),0))</f>
        <v>0</v>
      </c>
      <c r="J24" s="173" t="str">
        <f>IF($I24&gt;0,VLOOKUP($I24,DrawPrep!$C$3:$F$34,2,FALSE),"bye")</f>
        <v>bye</v>
      </c>
      <c r="K24" s="124" t="str">
        <f t="shared" si="0"/>
        <v/>
      </c>
      <c r="L24" s="125" t="str">
        <f>IF($I24&gt;0,VLOOKUP($I24,DrawPrep!$C$3:$F$34,3,FALSE),"")</f>
        <v/>
      </c>
      <c r="M24" s="78"/>
      <c r="N24" s="53"/>
      <c r="O24" s="70"/>
      <c r="P24" s="84"/>
      <c r="Q24" s="69">
        <v>2</v>
      </c>
      <c r="R24" s="118" t="str">
        <f>UPPER(IF($A$2="R",IF(OR(Q24=1,Q24="a"),P22,IF(OR(Q24=2,Q24="b"),P26,"")),IF(OR(Q24=1,Q24="a"),P22,IF(OR(Q24=2,Q24="b"),P26,""))))</f>
        <v>ΤΡΙΑΝΤΑΦΥΛΛΟΥ</v>
      </c>
      <c r="S24" s="70"/>
      <c r="T24" s="96"/>
    </row>
    <row r="25" spans="1:20" s="51" customFormat="1" ht="12">
      <c r="A25" s="151">
        <v>21</v>
      </c>
      <c r="B25" s="73">
        <f>16-D25+8</f>
        <v>14</v>
      </c>
      <c r="C25" s="80"/>
      <c r="D25" s="75">
        <f t="shared" si="1"/>
        <v>10</v>
      </c>
      <c r="E25" s="81">
        <v>0</v>
      </c>
      <c r="F25" s="61">
        <f>IF(NOT($G25="-"),VLOOKUP($G25,DrawPrep!$A$3:$F$34,2,FALSE),"")</f>
        <v>0</v>
      </c>
      <c r="G25" s="61">
        <v>17</v>
      </c>
      <c r="H25" s="133">
        <f>IF($G25&gt;0,VLOOKUP($G25,DrawPrep!$A$3:$F$34,6,FALSE),0)</f>
        <v>0</v>
      </c>
      <c r="I25" s="134">
        <f>IF(Setup!$B$24="#",0,IF($G25&gt;0,VLOOKUP($G25,DrawPrep!$A$3:$F$34,3,FALSE),0))</f>
        <v>17</v>
      </c>
      <c r="J25" s="177" t="str">
        <f>IF($I25&gt;0,VLOOKUP($I25,DrawPrep!$C$3:$F$34,2,FALSE),"bye")</f>
        <v>ΚΛΑΔΟΣ ΓΙΩΡΓΟΣ</v>
      </c>
      <c r="K25" s="134" t="str">
        <f t="shared" si="0"/>
        <v>ΚΛΑΔΟΣ</v>
      </c>
      <c r="L25" s="135" t="str">
        <f>IF($I25&gt;0,VLOOKUP($I25,DrawPrep!$C$3:$F$34,3,FALSE),"")</f>
        <v>ΤΡΟΙΖΙΝΙΑΚΟΣ</v>
      </c>
      <c r="M25" s="69">
        <v>1</v>
      </c>
      <c r="N25" s="118" t="str">
        <f>UPPER(IF($A$2="R",IF(OR(M25=1,M25="a"),I25,IF(OR(M25=2,M25="b"),I26,"")),IF(OR(M25=1,M25="a"),K25,IF(OR(M25=2,M25="b"),K26,""))))</f>
        <v>ΚΛΑΔΟΣ</v>
      </c>
      <c r="O25" s="70"/>
      <c r="P25" s="84"/>
      <c r="Q25" s="70"/>
      <c r="R25" s="350" t="s">
        <v>121</v>
      </c>
      <c r="S25" s="88"/>
      <c r="T25" s="96"/>
    </row>
    <row r="26" spans="1:20" s="51" customFormat="1" ht="12">
      <c r="A26" s="151">
        <v>22</v>
      </c>
      <c r="B26" s="73">
        <f>17-D26+8</f>
        <v>14</v>
      </c>
      <c r="C26" s="74">
        <v>14</v>
      </c>
      <c r="D26" s="75">
        <f t="shared" si="1"/>
        <v>11</v>
      </c>
      <c r="E26" s="76">
        <f>IF($B$2&gt;=C26,1,0)</f>
        <v>1</v>
      </c>
      <c r="F26" s="61" t="str">
        <f>IF(NOT($G26="-"),VLOOKUP($G26,DrawPrep!$A$3:$F$34,2,FALSE),"")</f>
        <v/>
      </c>
      <c r="G26" s="61" t="str">
        <f>IF($B$2&gt;=C26,"-",VLOOKUP($B26,Setup!$K$2:$L$33,2,FALSE))</f>
        <v>-</v>
      </c>
      <c r="H26" s="133">
        <f>IF(NOT($G26="-"),VLOOKUP($G26,DrawPrep!$A$3:$F$34,6,FALSE),0)</f>
        <v>0</v>
      </c>
      <c r="I26" s="134">
        <f>IF(Setup!$B$24="#",0,IF(NOT($G26="-"),VLOOKUP($G26,DrawPrep!$A$3:$F$34,3,FALSE),0))</f>
        <v>0</v>
      </c>
      <c r="J26" s="177" t="str">
        <f>IF($I26&gt;0,VLOOKUP($I26,DrawPrep!$C$3:$F$34,2,FALSE),"bye")</f>
        <v>bye</v>
      </c>
      <c r="K26" s="134" t="str">
        <f t="shared" si="0"/>
        <v/>
      </c>
      <c r="L26" s="135" t="str">
        <f>IF($I26&gt;0,VLOOKUP($I26,DrawPrep!$C$3:$F$34,3,FALSE),"")</f>
        <v/>
      </c>
      <c r="M26" s="78"/>
      <c r="N26" s="79"/>
      <c r="O26" s="69">
        <v>2</v>
      </c>
      <c r="P26" s="118" t="str">
        <f>UPPER(IF($A$2="R",IF(OR(O26=1,O26="a"),N25,IF(OR(O26=2,O26="b"),N27,"")),IF(OR(O26=1,O26="a"),N25,IF(OR(O26=2,O26="b"),N27,""))))</f>
        <v>ΤΡΙΑΝΤΑΦΥΛΛΟΥ</v>
      </c>
      <c r="Q26" s="88"/>
      <c r="R26" s="71"/>
      <c r="S26" s="88"/>
      <c r="T26" s="96"/>
    </row>
    <row r="27" spans="1:20" s="51" customFormat="1" ht="12">
      <c r="A27" s="149">
        <v>23</v>
      </c>
      <c r="B27" s="73">
        <f>18-D27+8</f>
        <v>14</v>
      </c>
      <c r="C27" s="94">
        <f>B28</f>
        <v>4</v>
      </c>
      <c r="D27" s="75">
        <f t="shared" si="1"/>
        <v>12</v>
      </c>
      <c r="E27" s="76">
        <f>IF($B$2&gt;=C27,1,0)</f>
        <v>1</v>
      </c>
      <c r="F27" s="82" t="str">
        <f>IF(NOT($G27="-"),VLOOKUP($G27,DrawPrep!$A$3:$F$34,2,FALSE),"")</f>
        <v/>
      </c>
      <c r="G27" s="82" t="str">
        <f>IF($B$2&gt;=C27,"-",VLOOKUP($B27,Setup!$K$2:$L$33,2,FALSE))</f>
        <v>-</v>
      </c>
      <c r="H27" s="120">
        <f>IF(NOT($G27="-"),VLOOKUP($G27,DrawPrep!$A$3:$F$34,6,FALSE),0)</f>
        <v>0</v>
      </c>
      <c r="I27" s="121">
        <f>IF(Setup!$B$24="#",0,IF(NOT($G27="-"),VLOOKUP($G27,DrawPrep!$A$3:$F$34,3,FALSE),0))</f>
        <v>0</v>
      </c>
      <c r="J27" s="172" t="str">
        <f>IF($I27&gt;0,VLOOKUP($I27,DrawPrep!$C$3:$F$34,2,FALSE),"bye")</f>
        <v>bye</v>
      </c>
      <c r="K27" s="121" t="str">
        <f t="shared" si="0"/>
        <v/>
      </c>
      <c r="L27" s="122" t="str">
        <f>IF($I27&gt;0,VLOOKUP($I27,DrawPrep!$C$3:$F$34,3,FALSE),"")</f>
        <v/>
      </c>
      <c r="M27" s="69">
        <v>2</v>
      </c>
      <c r="N27" s="118" t="str">
        <f>UPPER(IF($A$2="R",IF(OR(M27=1,M27="a"),I27,IF(OR(M27=2,M27="b"),I28,"")),IF(OR(M27=1,M27="a"),K27,IF(OR(M27=2,M27="b"),K28,""))))</f>
        <v>ΤΡΙΑΝΤΑΦΥΛΛΟΥ</v>
      </c>
      <c r="O27" s="78"/>
      <c r="P27" s="350" t="s">
        <v>118</v>
      </c>
      <c r="Q27" s="70"/>
      <c r="R27" s="71"/>
      <c r="S27" s="88"/>
      <c r="T27" s="96"/>
    </row>
    <row r="28" spans="1:20" s="51" customFormat="1" ht="12">
      <c r="A28" s="150">
        <v>24</v>
      </c>
      <c r="B28" s="97">
        <f>VALUE(Setup!E3)</f>
        <v>4</v>
      </c>
      <c r="C28" s="80"/>
      <c r="D28" s="75">
        <f t="shared" si="1"/>
        <v>12</v>
      </c>
      <c r="E28" s="81">
        <v>0</v>
      </c>
      <c r="F28" s="83">
        <f>IF(NOT($G28="-"),VLOOKUP($G28,DrawPrep!$A$3:$F$34,2,FALSE),"")</f>
        <v>0</v>
      </c>
      <c r="G28" s="90">
        <f>VLOOKUP($B28,Setup!$K$2:$L$33,2,FALSE)</f>
        <v>4</v>
      </c>
      <c r="H28" s="123">
        <f>IF($G28&gt;0,VLOOKUP($G28,DrawPrep!$A$3:$F$34,6,FALSE),0)</f>
        <v>0</v>
      </c>
      <c r="I28" s="129">
        <f>IF(Setup!$B$24="#",0,IF($G28&gt;0,VLOOKUP($G28,DrawPrep!$A$3:$F$34,3,FALSE),0))</f>
        <v>4</v>
      </c>
      <c r="J28" s="175" t="str">
        <f>IF($I28&gt;0,VLOOKUP($I28,DrawPrep!$C$3:$F$34,2,FALSE),"bye")</f>
        <v>ΤΡΙΑΝΤΑΦΥΛΛΟΥ ΓΙΩΡΓΟΣ</v>
      </c>
      <c r="K28" s="129" t="str">
        <f t="shared" si="0"/>
        <v>ΤΡΙΑΝΤΑΦΥΛΛΟΥ</v>
      </c>
      <c r="L28" s="130" t="str">
        <f>IF($I28&gt;0,VLOOKUP($I28,DrawPrep!$C$3:$F$34,3,FALSE),"")</f>
        <v>ΑΕΚ ΤΡΙΠΟΛΗΣ</v>
      </c>
      <c r="M28" s="78"/>
      <c r="N28" s="86"/>
      <c r="O28" s="72"/>
      <c r="P28" s="71"/>
      <c r="Q28" s="72"/>
      <c r="R28" s="71"/>
      <c r="S28" s="69">
        <v>2</v>
      </c>
      <c r="T28" s="160" t="str">
        <f>UPPER(IF($A$2="R",IF(OR(S28=1,S28="a"),R24,IF(OR(S28=2,S28="b"),R32,"")),IF(OR(S28=1,S28="a"),R24,IF(OR(S28=2,S28="b"),R32,""))))</f>
        <v>ΑΝΤΩΝΟΠΟΥΛΟΣ</v>
      </c>
    </row>
    <row r="29" spans="1:20" s="51" customFormat="1" ht="12">
      <c r="A29" s="151">
        <v>25</v>
      </c>
      <c r="B29" s="63">
        <f>VALUE(Setup!E8)</f>
        <v>7</v>
      </c>
      <c r="C29" s="80"/>
      <c r="D29" s="75">
        <f t="shared" si="1"/>
        <v>12</v>
      </c>
      <c r="E29" s="81">
        <v>0</v>
      </c>
      <c r="F29" s="61">
        <f>IF(NOT($G29="-"),VLOOKUP($G29,DrawPrep!$A$3:$F$34,2,FALSE),"")</f>
        <v>0</v>
      </c>
      <c r="G29" s="92">
        <f>VLOOKUP($B29,Setup!$K$2:$L$33,2,FALSE)</f>
        <v>7</v>
      </c>
      <c r="H29" s="133">
        <f>IF($G29&gt;0,VLOOKUP($G29,DrawPrep!$A$3:$F$34,6,FALSE),0)</f>
        <v>0</v>
      </c>
      <c r="I29" s="131">
        <f>IF(Setup!$B$24="#",0,IF($G29&gt;0,VLOOKUP($G29,DrawPrep!$A$3:$F$34,3,FALSE),0))</f>
        <v>7</v>
      </c>
      <c r="J29" s="176" t="str">
        <f>IF($I29&gt;0,VLOOKUP($I29,DrawPrep!$C$3:$F$34,2,FALSE),"bye")</f>
        <v>ΘΕΟΔΩΡΟΠΟΥΛΟΣ ΠΑΝΑΓΙΩΤΗΣ</v>
      </c>
      <c r="K29" s="131" t="str">
        <f t="shared" si="0"/>
        <v>ΘΕΟΔΩΡΟΠΟΥΛΟΣ</v>
      </c>
      <c r="L29" s="132" t="str">
        <f>IF($I29&gt;0,VLOOKUP($I29,DrawPrep!$C$3:$F$34,3,FALSE),"")</f>
        <v>ΑΕΤΟΙ ΚΟΡΙΝΘΙΑΣ</v>
      </c>
      <c r="M29" s="69">
        <v>1</v>
      </c>
      <c r="N29" s="118" t="str">
        <f>UPPER(IF($A$2="R",IF(OR(M29=1,M29="a"),I29,IF(OR(M29=2,M29="b"),I30,"")),IF(OR(M29=1,M29="a"),K29,IF(OR(M29=2,M29="b"),K30,""))))</f>
        <v>ΘΕΟΔΩΡΟΠΟΥΛΟΣ</v>
      </c>
      <c r="O29" s="70"/>
      <c r="P29" s="71"/>
      <c r="Q29" s="72"/>
      <c r="R29" s="84"/>
      <c r="S29" s="70"/>
      <c r="T29" s="226" t="s">
        <v>118</v>
      </c>
    </row>
    <row r="30" spans="1:20" s="51" customFormat="1" ht="12">
      <c r="A30" s="148">
        <v>26</v>
      </c>
      <c r="B30" s="73">
        <f>19-D30+8</f>
        <v>14</v>
      </c>
      <c r="C30" s="74">
        <f>B29</f>
        <v>7</v>
      </c>
      <c r="D30" s="75">
        <f t="shared" si="1"/>
        <v>13</v>
      </c>
      <c r="E30" s="76">
        <f>IF($B$2&gt;=C30,1,0)</f>
        <v>1</v>
      </c>
      <c r="F30" s="77" t="str">
        <f>IF(NOT($G30="-"),VLOOKUP($G30,DrawPrep!$A$3:$F$34,2,FALSE),"")</f>
        <v/>
      </c>
      <c r="G30" s="77" t="str">
        <f>IF($B$2&gt;=C30,"-",VLOOKUP($B30,Setup!$K$2:$L$33,2,FALSE))</f>
        <v>-</v>
      </c>
      <c r="H30" s="117">
        <f>IF(NOT($G30="-"),VLOOKUP($G30,DrawPrep!$A$3:$F$34,6,FALSE),0)</f>
        <v>0</v>
      </c>
      <c r="I30" s="118">
        <f>IF(Setup!$B$24="#",0,IF(NOT($G30="-"),VLOOKUP($G30,DrawPrep!$A$3:$F$34,3,FALSE),0))</f>
        <v>0</v>
      </c>
      <c r="J30" s="171" t="str">
        <f>IF($I30&gt;0,VLOOKUP($I30,DrawPrep!$C$3:$F$34,2,FALSE),"bye")</f>
        <v>bye</v>
      </c>
      <c r="K30" s="118" t="str">
        <f t="shared" si="0"/>
        <v/>
      </c>
      <c r="L30" s="119" t="str">
        <f>IF($I30&gt;0,VLOOKUP($I30,DrawPrep!$C$3:$F$34,3,FALSE),"")</f>
        <v/>
      </c>
      <c r="M30" s="78"/>
      <c r="N30" s="79"/>
      <c r="O30" s="69">
        <v>1</v>
      </c>
      <c r="P30" s="118" t="str">
        <f>UPPER(IF($A$2="R",IF(OR(O30=1,O30="a"),N29,IF(OR(O30=2,O30="b"),N31,"")),IF(OR(O30=1,O30="a"),N29,IF(OR(O30=2,O30="b"),N31,""))))</f>
        <v>ΘΕΟΔΩΡΟΠΟΥΛΟΣ</v>
      </c>
      <c r="Q30" s="70"/>
      <c r="R30" s="84"/>
      <c r="S30" s="70"/>
      <c r="T30" s="71"/>
    </row>
    <row r="31" spans="1:20" s="51" customFormat="1" ht="12">
      <c r="A31" s="152">
        <v>27</v>
      </c>
      <c r="B31" s="73">
        <f>20-D31+8</f>
        <v>15</v>
      </c>
      <c r="C31" s="80"/>
      <c r="D31" s="75">
        <f t="shared" si="1"/>
        <v>13</v>
      </c>
      <c r="E31" s="81">
        <v>0</v>
      </c>
      <c r="F31" s="98">
        <f>IF(NOT($G31="-"),VLOOKUP($G31,DrawPrep!$A$3:$F$34,2,FALSE),"")</f>
        <v>0</v>
      </c>
      <c r="G31" s="98">
        <v>12</v>
      </c>
      <c r="H31" s="136">
        <f>IF($G31&gt;0,VLOOKUP($G31,DrawPrep!$A$3:$F$34,6,FALSE),0)</f>
        <v>0</v>
      </c>
      <c r="I31" s="137">
        <f>IF(Setup!$B$24="#",0,IF($G31&gt;0,VLOOKUP($G31,DrawPrep!$A$3:$F$34,3,FALSE),0))</f>
        <v>12</v>
      </c>
      <c r="J31" s="178" t="str">
        <f>IF($I31&gt;0,VLOOKUP($I31,DrawPrep!$C$3:$F$34,2,FALSE),"bye")</f>
        <v>ΤΣΑΓΚΑΡΕΛΗΣ ΑΛΕΞΑΝΔΡΟΣ</v>
      </c>
      <c r="K31" s="137" t="str">
        <f t="shared" si="0"/>
        <v>ΤΣΑΓΚΑΡΕΛΗΣ</v>
      </c>
      <c r="L31" s="138" t="str">
        <f>IF($I31&gt;0,VLOOKUP($I31,DrawPrep!$C$3:$F$34,3,FALSE),"")</f>
        <v>ΑΕΚ ΤΡΙΠΟΛΗΣ</v>
      </c>
      <c r="M31" s="69">
        <v>1</v>
      </c>
      <c r="N31" s="118" t="str">
        <f>UPPER(IF($A$2="R",IF(OR(M31=1,M31="a"),I31,IF(OR(M31=2,M31="b"),I32,"")),IF(OR(M31=1,M31="a"),K31,IF(OR(M31=2,M31="b"),K32,""))))</f>
        <v>ΤΣΑΓΚΑΡΕΛΗΣ</v>
      </c>
      <c r="O31" s="78"/>
      <c r="P31" s="349" t="s">
        <v>123</v>
      </c>
      <c r="Q31" s="70"/>
      <c r="R31" s="84"/>
      <c r="S31" s="70"/>
      <c r="T31" s="71"/>
    </row>
    <row r="32" spans="1:20" s="51" customFormat="1" ht="12">
      <c r="A32" s="152">
        <v>28</v>
      </c>
      <c r="B32" s="73">
        <f>21-D32+8</f>
        <v>15</v>
      </c>
      <c r="C32" s="74">
        <v>10</v>
      </c>
      <c r="D32" s="75">
        <f t="shared" si="1"/>
        <v>14</v>
      </c>
      <c r="E32" s="76">
        <f>IF($B$2&gt;=C32,1,0)</f>
        <v>1</v>
      </c>
      <c r="F32" s="98" t="str">
        <f>IF(NOT($G32="-"),VLOOKUP($G32,DrawPrep!$A$3:$F$34,2,FALSE),"")</f>
        <v/>
      </c>
      <c r="G32" s="98" t="str">
        <f>IF($B$2&gt;=C32,"-",VLOOKUP($B32,Setup!$K$2:$L$33,2,FALSE))</f>
        <v>-</v>
      </c>
      <c r="H32" s="136">
        <f>IF(NOT($G32="-"),VLOOKUP($G32,DrawPrep!$A$3:$F$34,6,FALSE),0)</f>
        <v>0</v>
      </c>
      <c r="I32" s="137">
        <f>IF(Setup!$B$24="#",0,IF(NOT($G32="-"),VLOOKUP($G32,DrawPrep!$A$3:$F$34,3,FALSE),0))</f>
        <v>0</v>
      </c>
      <c r="J32" s="178" t="str">
        <f>IF($I32&gt;0,VLOOKUP($I32,DrawPrep!$C$3:$F$34,2,FALSE),"bye")</f>
        <v>bye</v>
      </c>
      <c r="K32" s="137" t="str">
        <f t="shared" si="0"/>
        <v/>
      </c>
      <c r="L32" s="138" t="str">
        <f>IF($I32&gt;0,VLOOKUP($I32,DrawPrep!$C$3:$F$34,3,FALSE),"")</f>
        <v/>
      </c>
      <c r="M32" s="95"/>
      <c r="N32" s="53"/>
      <c r="O32" s="70"/>
      <c r="P32" s="84"/>
      <c r="Q32" s="69">
        <v>2</v>
      </c>
      <c r="R32" s="118" t="str">
        <f>UPPER(IF($A$2="R",IF(OR(Q32=1,Q32="a"),P30,IF(OR(Q32=2,Q32="b"),P34,"")),IF(OR(Q32=1,Q32="a"),P30,IF(OR(Q32=2,Q32="b"),P34,""))))</f>
        <v>ΑΝΤΩΝΟΠΟΥΛΟΣ</v>
      </c>
      <c r="S32" s="88"/>
      <c r="T32" s="71"/>
    </row>
    <row r="33" spans="1:21" ht="12" customHeight="1">
      <c r="A33" s="147">
        <v>29</v>
      </c>
      <c r="B33" s="73">
        <f>22-D33+8</f>
        <v>16</v>
      </c>
      <c r="C33" s="80"/>
      <c r="D33" s="75">
        <f t="shared" si="1"/>
        <v>14</v>
      </c>
      <c r="E33" s="81">
        <v>0</v>
      </c>
      <c r="F33" s="67">
        <f>IF(NOT($G33="-"),VLOOKUP($G33,DrawPrep!$A$3:$F$34,2,FALSE),"")</f>
        <v>0</v>
      </c>
      <c r="G33" s="67">
        <f>VLOOKUP($B33,Setup!$K$2:$L$33,2,FALSE)</f>
        <v>13</v>
      </c>
      <c r="H33" s="126">
        <f>IF($G33&gt;0,VLOOKUP($G33,DrawPrep!$A$3:$F$34,6,FALSE),0)</f>
        <v>0</v>
      </c>
      <c r="I33" s="127">
        <f>IF(Setup!$B$24="#",0,IF($G33&gt;0,VLOOKUP($G33,DrawPrep!$A$3:$F$34,3,FALSE),0))</f>
        <v>13</v>
      </c>
      <c r="J33" s="174" t="str">
        <f>IF($I33&gt;0,VLOOKUP($I33,DrawPrep!$C$3:$F$34,2,FALSE),"bye")</f>
        <v>ΚΑΣΤΡΑΝΤΑΣ ΧΡΗΣΤΟΣ</v>
      </c>
      <c r="K33" s="127" t="str">
        <f t="shared" si="0"/>
        <v>ΚΑΣΤΡΑΝΤΑΣ</v>
      </c>
      <c r="L33" s="128" t="str">
        <f>IF($I33&gt;0,VLOOKUP($I33,DrawPrep!$C$3:$F$34,3,FALSE),"")</f>
        <v>ΑΕΚ ΤΡΙΠΟΛΗΣ</v>
      </c>
      <c r="M33" s="87">
        <v>1</v>
      </c>
      <c r="N33" s="118" t="str">
        <f>UPPER(IF($A$2="R",IF(OR(M33=1,M33="a"),I33,IF(OR(M33=2,M33="b"),I34,"")),IF(OR(M33=1,M33="a"),K33,IF(OR(M33=2,M33="b"),K34,""))))</f>
        <v>ΚΑΣΤΡΑΝΤΑΣ</v>
      </c>
      <c r="O33" s="70"/>
      <c r="P33" s="84"/>
      <c r="Q33" s="70"/>
      <c r="R33" s="351" t="s">
        <v>118</v>
      </c>
      <c r="T33" s="71"/>
    </row>
    <row r="34" spans="1:21" ht="12" customHeight="1">
      <c r="A34" s="148">
        <v>30</v>
      </c>
      <c r="B34" s="73">
        <f>23-D34+8</f>
        <v>17</v>
      </c>
      <c r="C34" s="74">
        <v>16</v>
      </c>
      <c r="D34" s="75">
        <f t="shared" si="1"/>
        <v>14</v>
      </c>
      <c r="E34" s="76">
        <f>IF($B$2&gt;=C34,1,0)</f>
        <v>0</v>
      </c>
      <c r="F34" s="77">
        <f>IF(NOT($G34="-"),VLOOKUP($G34,DrawPrep!$A$3:$F$34,2,FALSE),"")</f>
        <v>0</v>
      </c>
      <c r="G34" s="77">
        <v>14</v>
      </c>
      <c r="H34" s="117">
        <f>IF(NOT($G34="-"),VLOOKUP($G34,DrawPrep!$A$3:$F$34,6,FALSE),0)</f>
        <v>0</v>
      </c>
      <c r="I34" s="118">
        <f>IF(Setup!$B$24="#",0,IF(NOT($G34="-"),VLOOKUP($G34,DrawPrep!$A$3:$F$34,3,FALSE),0))</f>
        <v>14</v>
      </c>
      <c r="J34" s="171" t="str">
        <f>IF($I34&gt;0,VLOOKUP($I34,DrawPrep!$C$3:$F$34,2,FALSE),"bye")</f>
        <v>ΑΡΑΠΙ ΜΙΧΑΛΗΣ</v>
      </c>
      <c r="K34" s="118" t="str">
        <f t="shared" si="0"/>
        <v>ΑΡΑΠΙ</v>
      </c>
      <c r="L34" s="119" t="str">
        <f>IF($I34&gt;0,VLOOKUP($I34,DrawPrep!$C$3:$F$34,3,FALSE),"")</f>
        <v>ΑΤΚ ΒΕΛΟ</v>
      </c>
      <c r="M34" s="78"/>
      <c r="N34" s="349" t="s">
        <v>124</v>
      </c>
      <c r="O34" s="69">
        <v>2</v>
      </c>
      <c r="P34" s="118" t="str">
        <f>UPPER(IF($A$2="R",IF(OR(O34=1,O34="a"),N33,IF(OR(O34=2,O34="b"),N35,"")),IF(OR(O34=1,O34="a"),N33,IF(OR(O34=2,O34="b"),N35,""))))</f>
        <v>ΑΝΤΩΝΟΠΟΥΛΟΣ</v>
      </c>
      <c r="Q34" s="88"/>
      <c r="R34" s="71"/>
      <c r="T34" s="71"/>
    </row>
    <row r="35" spans="1:21" ht="12" customHeight="1">
      <c r="A35" s="149">
        <v>31</v>
      </c>
      <c r="B35" s="73">
        <f>24-D35+8</f>
        <v>17</v>
      </c>
      <c r="C35" s="74">
        <f>B36</f>
        <v>2</v>
      </c>
      <c r="D35" s="75">
        <f t="shared" si="1"/>
        <v>15</v>
      </c>
      <c r="E35" s="76">
        <f>IF($B$2&gt;=C35,1,0)</f>
        <v>1</v>
      </c>
      <c r="F35" s="82" t="str">
        <f>IF(NOT($G35="-"),VLOOKUP($G35,DrawPrep!$A$3:$F$34,2,FALSE),"")</f>
        <v/>
      </c>
      <c r="G35" s="82" t="str">
        <f>IF($B$2&gt;=C35,"-",VLOOKUP($B35,Setup!$K$2:$L$33,2,FALSE))</f>
        <v>-</v>
      </c>
      <c r="H35" s="120">
        <f>IF(NOT($G35="-"),VLOOKUP($G35,DrawPrep!$A$3:$F$34,6,FALSE),0)</f>
        <v>0</v>
      </c>
      <c r="I35" s="121">
        <f>IF(Setup!$B$24="#",0,IF(NOT($G35="-"),VLOOKUP($G35,DrawPrep!$A$3:$F$34,3,FALSE),0))</f>
        <v>0</v>
      </c>
      <c r="J35" s="172" t="str">
        <f>IF($I35&gt;0,VLOOKUP($I35,DrawPrep!$C$3:$F$34,2,FALSE),"bye")</f>
        <v>bye</v>
      </c>
      <c r="K35" s="121" t="str">
        <f t="shared" si="0"/>
        <v/>
      </c>
      <c r="L35" s="122" t="str">
        <f>IF($I35&gt;0,VLOOKUP($I35,DrawPrep!$C$3:$F$34,3,FALSE),"")</f>
        <v/>
      </c>
      <c r="M35" s="69">
        <v>2</v>
      </c>
      <c r="N35" s="118" t="str">
        <f>UPPER(IF($A$2="R",IF(OR(M35=1,M35="a"),I35,IF(OR(M35=2,M35="b"),I36,"")),IF(OR(M35=1,M35="a"),K35,IF(OR(M35=2,M35="b"),K36,""))))</f>
        <v>ΑΝΤΩΝΟΠΟΥΛΟΣ</v>
      </c>
      <c r="O35" s="78"/>
      <c r="P35" s="350" t="s">
        <v>125</v>
      </c>
      <c r="Q35" s="70"/>
      <c r="R35" s="71"/>
      <c r="T35" s="71"/>
    </row>
    <row r="36" spans="1:21" ht="12" customHeight="1">
      <c r="A36" s="150">
        <v>32</v>
      </c>
      <c r="B36" s="63">
        <v>2</v>
      </c>
      <c r="C36" s="80"/>
      <c r="D36" s="75">
        <f t="shared" si="1"/>
        <v>15</v>
      </c>
      <c r="E36" s="81">
        <v>0</v>
      </c>
      <c r="F36" s="83">
        <f>IF(NOT($G36="-"),VLOOKUP($G36,DrawPrep!$A$3:$F$34,2,FALSE),"")</f>
        <v>0</v>
      </c>
      <c r="G36" s="90">
        <f>VLOOKUP($B36,Setup!$K$2:$L$33,2,FALSE)</f>
        <v>2</v>
      </c>
      <c r="H36" s="123">
        <f>IF($G36&gt;0,VLOOKUP($G36,DrawPrep!$A$3:$F$34,6,FALSE),0)</f>
        <v>0</v>
      </c>
      <c r="I36" s="129">
        <f>IF(Setup!$B$24="#",0,IF($G36&gt;0,VLOOKUP($G36,DrawPrep!$A$3:$F$34,3,FALSE),0))</f>
        <v>2</v>
      </c>
      <c r="J36" s="175" t="str">
        <f>IF($I36&gt;0,VLOOKUP($I36,DrawPrep!$C$3:$F$34,2,FALSE),"bye")</f>
        <v>ΑΝΤΩΝΟΠΟΥΛΟΣ ΓΙΩΡΓΟΣ</v>
      </c>
      <c r="K36" s="129" t="str">
        <f t="shared" si="0"/>
        <v>ΑΝΤΩΝΟΠΟΥΛΟΣ</v>
      </c>
      <c r="L36" s="130" t="str">
        <f>IF($I36&gt;0,VLOOKUP($I36,DrawPrep!$C$3:$F$34,3,FALSE),"")</f>
        <v>ΑΡΚΑΔΙΚΟΣ ΑΟΑ</v>
      </c>
      <c r="M36" s="78"/>
      <c r="N36" s="53"/>
      <c r="P36" s="71"/>
      <c r="R36" s="99"/>
      <c r="T36" s="93"/>
    </row>
    <row r="37" spans="1:21">
      <c r="N37" s="101" t="s">
        <v>22</v>
      </c>
      <c r="P37" s="101" t="s">
        <v>22</v>
      </c>
      <c r="R37" s="101" t="s">
        <v>22</v>
      </c>
      <c r="T37" s="101" t="s">
        <v>22</v>
      </c>
    </row>
    <row r="38" spans="1:21">
      <c r="J38" s="59"/>
      <c r="K38" s="59"/>
      <c r="L38" s="59"/>
      <c r="M38" s="50"/>
    </row>
    <row r="39" spans="1:21" s="102" customFormat="1" ht="9.75">
      <c r="C39" s="103"/>
      <c r="D39" s="104"/>
      <c r="E39" s="104"/>
      <c r="G39" s="103"/>
      <c r="H39" s="103"/>
      <c r="I39" s="104"/>
      <c r="J39" s="105" t="s">
        <v>36</v>
      </c>
      <c r="K39" s="106"/>
      <c r="M39" s="107"/>
      <c r="O39" s="108"/>
      <c r="Q39" s="108"/>
      <c r="R39" s="109"/>
      <c r="S39" s="110"/>
      <c r="T39" s="109"/>
      <c r="U39" s="109"/>
    </row>
    <row r="40" spans="1:21" s="102" customFormat="1" ht="9.75">
      <c r="C40" s="103"/>
      <c r="D40" s="104"/>
      <c r="E40" s="104"/>
      <c r="G40" s="103"/>
      <c r="H40" s="103"/>
      <c r="I40" s="104"/>
      <c r="J40" s="111" t="str">
        <f>"1. " &amp; IF(Setup!B19&gt;0,LEFT(DrawPrep!D3,FIND(" ",DrawPrep!D3)+1),"")</f>
        <v>1. ΣΑΡΡΗΣ Δ</v>
      </c>
      <c r="K40" s="109"/>
      <c r="M40" s="112"/>
      <c r="N40" s="112"/>
      <c r="O40" s="108"/>
      <c r="Q40" s="108"/>
      <c r="R40" s="109"/>
      <c r="S40" s="110"/>
      <c r="T40" s="109"/>
      <c r="U40" s="109"/>
    </row>
    <row r="41" spans="1:21" s="102" customFormat="1" ht="9.75">
      <c r="C41" s="103"/>
      <c r="D41" s="104"/>
      <c r="E41" s="104"/>
      <c r="G41" s="103"/>
      <c r="H41" s="103"/>
      <c r="I41" s="104"/>
      <c r="J41" s="111" t="str">
        <f>"2. " &amp; IF(Setup!B19&gt;1,LEFT(DrawPrep!D4,FIND(" ",DrawPrep!D4)+1),"")</f>
        <v>2. ΑΝΤΩΝΟΠΟΥΛΟΣ Γ</v>
      </c>
      <c r="K41" s="109"/>
      <c r="M41" s="107"/>
      <c r="O41" s="108"/>
      <c r="Q41" s="108"/>
      <c r="R41" s="113" t="s">
        <v>37</v>
      </c>
      <c r="S41" s="110"/>
      <c r="U41" s="109"/>
    </row>
    <row r="42" spans="1:21" s="102" customFormat="1" ht="9.75">
      <c r="C42" s="103"/>
      <c r="D42" s="104"/>
      <c r="E42" s="104"/>
      <c r="G42" s="103"/>
      <c r="H42" s="103"/>
      <c r="I42" s="104"/>
      <c r="J42" s="111" t="str">
        <f>"3. " &amp; IF(Setup!B19&gt;2,LEFT(DrawPrep!D5,FIND(" ",DrawPrep!D5)+1),"")</f>
        <v>3. ΜΑΓΟΥΛΑΣ Α</v>
      </c>
      <c r="K42" s="109"/>
      <c r="M42" s="107"/>
      <c r="O42" s="108"/>
      <c r="Q42" s="108"/>
      <c r="R42" s="324" t="str">
        <f>Setup!B10</f>
        <v>ΚΟΚΚΟΣΗ ΧΑΡΑ</v>
      </c>
      <c r="S42" s="324"/>
      <c r="T42" s="324"/>
      <c r="U42" s="109"/>
    </row>
    <row r="43" spans="1:21" s="102" customFormat="1" ht="9.75">
      <c r="C43" s="103"/>
      <c r="D43" s="104"/>
      <c r="E43" s="104"/>
      <c r="G43" s="103"/>
      <c r="H43" s="103"/>
      <c r="I43" s="104"/>
      <c r="J43" s="111" t="str">
        <f>"4. " &amp; IF(Setup!B19&gt;3,LEFT(DrawPrep!D6,FIND(" ",DrawPrep!D6)+1),"")</f>
        <v>4. ΤΡΙΑΝΤΑΦΥΛΛΟΥ Γ</v>
      </c>
      <c r="K43" s="109"/>
      <c r="M43" s="107"/>
      <c r="O43" s="108"/>
      <c r="Q43" s="108"/>
      <c r="R43" s="109"/>
      <c r="S43" s="110"/>
      <c r="U43" s="109"/>
    </row>
    <row r="44" spans="1:21" s="102" customFormat="1" ht="9.75">
      <c r="C44" s="103"/>
      <c r="D44" s="104"/>
      <c r="E44" s="104"/>
      <c r="G44" s="103"/>
      <c r="H44" s="103"/>
      <c r="I44" s="104"/>
      <c r="J44" s="111" t="str">
        <f>"5. " &amp; IF(Setup!B19&gt;4,LEFT(DrawPrep!D7,FIND(" ",DrawPrep!D7)+1),"")</f>
        <v>5. ΚΟΡΚΑΣ Α</v>
      </c>
      <c r="K44" s="109"/>
      <c r="M44" s="107"/>
      <c r="O44" s="108"/>
      <c r="Q44" s="108"/>
      <c r="R44" s="109"/>
      <c r="S44" s="110"/>
      <c r="T44" s="109"/>
      <c r="U44" s="109"/>
    </row>
    <row r="45" spans="1:21" s="102" customFormat="1" ht="9.75">
      <c r="C45" s="103"/>
      <c r="D45" s="104"/>
      <c r="E45" s="104"/>
      <c r="G45" s="103"/>
      <c r="H45" s="103"/>
      <c r="I45" s="104"/>
      <c r="J45" s="111" t="str">
        <f>"6. " &amp; IF(Setup!B19&gt;5,LEFT(DrawPrep!D8,FIND(" ",DrawPrep!D8)+1),"")</f>
        <v>6. ΛΕΚΚΑΣ Α</v>
      </c>
      <c r="K45" s="109"/>
      <c r="L45" s="109"/>
      <c r="M45" s="107"/>
      <c r="O45" s="108"/>
      <c r="Q45" s="108"/>
      <c r="R45" s="109"/>
      <c r="S45" s="110"/>
      <c r="T45" s="109"/>
      <c r="U45" s="109"/>
    </row>
    <row r="46" spans="1:21" s="102" customFormat="1" ht="9.75">
      <c r="C46" s="103"/>
      <c r="D46" s="104"/>
      <c r="E46" s="104"/>
      <c r="G46" s="103"/>
      <c r="H46" s="103"/>
      <c r="I46" s="104"/>
      <c r="J46" s="111" t="str">
        <f>"7. " &amp; IF(Setup!B19&gt;6,LEFT(DrawPrep!D9,FIND(" ",DrawPrep!D9)+1),"")</f>
        <v>7. ΘΕΟΔΩΡΟΠΟΥΛΟΣ Π</v>
      </c>
      <c r="K46" s="109"/>
      <c r="L46" s="109"/>
      <c r="M46" s="107"/>
      <c r="O46" s="108"/>
      <c r="Q46" s="108"/>
      <c r="R46" s="109"/>
      <c r="S46" s="110"/>
      <c r="T46" s="109"/>
      <c r="U46" s="109"/>
    </row>
    <row r="47" spans="1:21" s="102" customFormat="1" ht="9.75">
      <c r="C47" s="103"/>
      <c r="D47" s="104"/>
      <c r="E47" s="104"/>
      <c r="G47" s="103"/>
      <c r="H47" s="103"/>
      <c r="I47" s="104"/>
      <c r="J47" s="111" t="str">
        <f>"8. " &amp; IF(Setup!B19&gt;7,LEFT(DrawPrep!D10,FIND(" ",DrawPrep!D10)+1),"")</f>
        <v>8. ΣΟΥΝΤΑΣ Σ</v>
      </c>
      <c r="K47" s="109"/>
      <c r="L47" s="109"/>
      <c r="M47" s="107"/>
      <c r="O47" s="108"/>
      <c r="Q47" s="108"/>
      <c r="R47" s="109"/>
      <c r="S47" s="110"/>
      <c r="T47" s="109"/>
      <c r="U47" s="109"/>
    </row>
    <row r="48" spans="1:21">
      <c r="J48" s="59"/>
      <c r="K48" s="59"/>
      <c r="L48" s="59"/>
      <c r="M48" s="50"/>
    </row>
    <row r="49" spans="3:21">
      <c r="C49" s="51"/>
      <c r="D49" s="51"/>
      <c r="E49" s="51"/>
      <c r="G49" s="51"/>
      <c r="H49" s="51"/>
      <c r="I49" s="51"/>
      <c r="J49" s="59"/>
      <c r="K49" s="59"/>
      <c r="L49" s="59"/>
      <c r="M49" s="50"/>
      <c r="O49" s="51"/>
      <c r="Q49" s="51"/>
      <c r="R49" s="51"/>
      <c r="S49" s="51"/>
      <c r="T49" s="51"/>
      <c r="U49" s="51"/>
    </row>
    <row r="50" spans="3:21">
      <c r="C50" s="51"/>
      <c r="D50" s="51"/>
      <c r="E50" s="51"/>
      <c r="G50" s="51"/>
      <c r="H50" s="51"/>
      <c r="I50" s="51"/>
      <c r="J50" s="59"/>
      <c r="K50" s="59"/>
      <c r="L50" s="59"/>
      <c r="M50" s="50"/>
      <c r="O50" s="51"/>
      <c r="Q50" s="51"/>
      <c r="R50" s="51"/>
      <c r="S50" s="51"/>
      <c r="T50" s="51"/>
      <c r="U50" s="51"/>
    </row>
    <row r="59" spans="3:21">
      <c r="C59" s="51"/>
      <c r="D59" s="51"/>
      <c r="E59" s="51"/>
      <c r="G59" s="51"/>
      <c r="H59" s="51"/>
      <c r="I59" s="51"/>
      <c r="J59" s="155" t="s">
        <v>48</v>
      </c>
      <c r="O59" s="51"/>
      <c r="Q59" s="51"/>
      <c r="R59" s="51"/>
      <c r="S59" s="51"/>
      <c r="T59" s="51"/>
      <c r="U59" s="51"/>
    </row>
    <row r="60" spans="3:21">
      <c r="C60" s="51"/>
      <c r="D60" s="51"/>
      <c r="E60" s="51"/>
      <c r="G60" s="51"/>
      <c r="H60" s="51"/>
      <c r="I60" s="51"/>
      <c r="J60" s="156" t="str">
        <f>IF(Setup!$B$19&gt;0,LEFT(DrawPrep!D3,FIND(" ",DrawPrep!D3)-1))</f>
        <v>ΣΑΡΡΗΣ</v>
      </c>
      <c r="O60" s="51"/>
      <c r="Q60" s="51"/>
      <c r="R60" s="51"/>
      <c r="S60" s="51"/>
      <c r="T60" s="51"/>
      <c r="U60" s="51"/>
    </row>
    <row r="61" spans="3:21">
      <c r="C61" s="51"/>
      <c r="D61" s="51"/>
      <c r="E61" s="51"/>
      <c r="G61" s="51"/>
      <c r="H61" s="51"/>
      <c r="I61" s="51"/>
      <c r="J61" s="156" t="str">
        <f>IF(Setup!$B$19&gt;1,LEFT(DrawPrep!D4,FIND(" ",DrawPrep!D4)-1))</f>
        <v>ΑΝΤΩΝΟΠΟΥΛΟΣ</v>
      </c>
      <c r="O61" s="51"/>
      <c r="Q61" s="51"/>
      <c r="R61" s="51"/>
      <c r="S61" s="51"/>
      <c r="T61" s="51"/>
      <c r="U61" s="51"/>
    </row>
    <row r="62" spans="3:21">
      <c r="C62" s="51"/>
      <c r="D62" s="51"/>
      <c r="E62" s="51"/>
      <c r="G62" s="51"/>
      <c r="H62" s="51"/>
      <c r="I62" s="51"/>
      <c r="J62" s="156" t="str">
        <f>IF(Setup!$B$19&gt;2,LEFT(DrawPrep!D5,FIND(" ",DrawPrep!D5)-1))</f>
        <v>ΜΑΓΟΥΛΑΣ</v>
      </c>
      <c r="O62" s="51"/>
      <c r="Q62" s="51"/>
      <c r="R62" s="51"/>
      <c r="S62" s="51"/>
      <c r="T62" s="51"/>
      <c r="U62" s="51"/>
    </row>
    <row r="63" spans="3:21">
      <c r="C63" s="51"/>
      <c r="D63" s="51"/>
      <c r="E63" s="51"/>
      <c r="G63" s="51"/>
      <c r="H63" s="51"/>
      <c r="I63" s="51"/>
      <c r="J63" s="156" t="str">
        <f>IF(Setup!$B$19&gt;3,LEFT(DrawPrep!D6,FIND(" ",DrawPrep!D6)-1))</f>
        <v>ΤΡΙΑΝΤΑΦΥΛΛΟΥ</v>
      </c>
      <c r="O63" s="51"/>
      <c r="Q63" s="51"/>
      <c r="R63" s="51"/>
      <c r="S63" s="51"/>
      <c r="T63" s="51"/>
      <c r="U63" s="51"/>
    </row>
    <row r="64" spans="3:21">
      <c r="C64" s="51"/>
      <c r="D64" s="51"/>
      <c r="E64" s="51"/>
      <c r="G64" s="51"/>
      <c r="H64" s="51"/>
      <c r="I64" s="51"/>
      <c r="J64" s="156" t="str">
        <f>IF(Setup!$B$19&gt;4,LEFT(DrawPrep!D7,FIND(" ",DrawPrep!D7)-1))</f>
        <v>ΚΟΡΚΑΣ</v>
      </c>
      <c r="O64" s="51"/>
      <c r="Q64" s="51"/>
      <c r="R64" s="51"/>
      <c r="S64" s="51"/>
      <c r="T64" s="51"/>
      <c r="U64" s="51"/>
    </row>
    <row r="65" spans="10:10" s="51" customFormat="1">
      <c r="J65" s="156" t="str">
        <f>IF(Setup!$B$19&gt;5,LEFT(DrawPrep!D8,FIND(" ",DrawPrep!D8)-1))</f>
        <v>ΛΕΚΚΑΣ</v>
      </c>
    </row>
    <row r="66" spans="10:10" s="51" customFormat="1">
      <c r="J66" s="156" t="str">
        <f>IF(Setup!$B$19&gt;6,LEFT(DrawPrep!D9,FIND(" ",DrawPrep!D9)-1))</f>
        <v>ΘΕΟΔΩΡΟΠΟΥΛΟΣ</v>
      </c>
    </row>
    <row r="67" spans="10:10" s="51" customFormat="1">
      <c r="J67" s="156" t="str">
        <f>IF(Setup!$B$19&gt;7,LEFT(DrawPrep!D10,FIND(" ",DrawPrep!D10)-1))</f>
        <v>ΣΟΥΝΤΑΣ</v>
      </c>
    </row>
    <row r="68" spans="10:10" s="51" customFormat="1" ht="12">
      <c r="J68" s="114"/>
    </row>
    <row r="69" spans="10:10" s="51" customFormat="1" ht="12">
      <c r="J69" s="114"/>
    </row>
    <row r="70" spans="10:10" s="51" customFormat="1" ht="12">
      <c r="J70" s="114"/>
    </row>
    <row r="71" spans="10:10" s="51" customFormat="1" ht="12">
      <c r="J71" s="114"/>
    </row>
    <row r="72" spans="10:10" s="51" customFormat="1" ht="12">
      <c r="J72" s="114"/>
    </row>
    <row r="73" spans="10:10" s="51" customFormat="1" ht="12">
      <c r="J73" s="114"/>
    </row>
    <row r="74" spans="10:10" s="51" customFormat="1" ht="12">
      <c r="J74" s="114"/>
    </row>
    <row r="75" spans="10:10" s="51" customFormat="1" ht="12">
      <c r="J75" s="114"/>
    </row>
  </sheetData>
  <sheetProtection password="CF33" sheet="1" objects="1" scenarios="1" formatCells="0" formatColumns="0" formatRows="0"/>
  <protectedRanges>
    <protectedRange sqref="A2 M5 M7 M9 M11 M13 M15 M17 M19 M21 M23 M25 M27 M29 M31 M33 M35 O6 O10 O14 O18 O22 O26 O30 O34 Q8 Q16 Q24 Q32 S12 S28 S20" name="winners"/>
    <protectedRange sqref="N6 N8 N10 N12 N14 N16 N18 N20 N22 N24 N26 N28 N30 N32 N34 N36 P7 P11 P15 P19 P23 P27 P31 P35 R9 R17 R25 R33 T13 T21 T29" name="scores"/>
    <protectedRange sqref="G5:G36" name="seeds"/>
  </protectedRanges>
  <mergeCells count="3">
    <mergeCell ref="A1:R1"/>
    <mergeCell ref="J3:L3"/>
    <mergeCell ref="R42:T42"/>
  </mergeCells>
  <conditionalFormatting sqref="N5 N7 N9 N11 N13 N15 N17 N19 N21 N23 N25 N27 N29 N31 N33 N35 P34 P30 P26 P22 P18 P14 P10 P6 R8 R16 R24 R32 T28 T20 T12">
    <cfRule type="expression" dxfId="0" priority="1">
      <formula>MATCH(N5,$J$60:$J$75,0)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9" orientation="landscape" r:id="rId1"/>
  <headerFooter>
    <oddFooter>&amp;R&amp;D&amp;T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H37"/>
  <sheetViews>
    <sheetView workbookViewId="0">
      <selection activeCell="E46" sqref="E46"/>
    </sheetView>
  </sheetViews>
  <sheetFormatPr defaultColWidth="8.85546875" defaultRowHeight="12"/>
  <cols>
    <col min="1" max="1" width="7.28515625" style="4" bestFit="1" customWidth="1"/>
    <col min="2" max="2" width="7.28515625" style="1" customWidth="1"/>
    <col min="3" max="3" width="38.7109375" style="1" customWidth="1"/>
    <col min="4" max="4" width="1.28515625" style="1" bestFit="1" customWidth="1"/>
    <col min="5" max="5" width="38.7109375" style="1" customWidth="1"/>
    <col min="6" max="6" width="5.7109375" style="1" customWidth="1"/>
    <col min="7" max="16384" width="8.85546875" style="1"/>
  </cols>
  <sheetData>
    <row r="1" spans="1:8" s="2" customFormat="1" ht="18">
      <c r="A1" s="327" t="str">
        <f>Setup!B3 &amp; ", " &amp; Setup!B4 &amp; ", " &amp; Setup!B6  &amp; " (" &amp; Setup!B7 &amp; ")"</f>
        <v>ΣΤ' ΕΝΩΣΗ, Open Προπαιδικό U10, ΡΗΓΑΣ ΑΟΑΑ (BOYS 10)</v>
      </c>
      <c r="B1" s="327"/>
      <c r="C1" s="327"/>
      <c r="D1" s="327"/>
      <c r="E1" s="327"/>
      <c r="F1" s="327"/>
      <c r="H1" s="19" t="s">
        <v>31</v>
      </c>
    </row>
    <row r="2" spans="1:8" ht="12.75">
      <c r="A2" s="328" t="str">
        <f>Setup!$B$10</f>
        <v>ΚΟΚΚΟΣΗ ΧΑΡΑ</v>
      </c>
      <c r="B2" s="328"/>
      <c r="C2" s="328"/>
      <c r="D2" s="328"/>
      <c r="E2" s="328"/>
      <c r="F2" s="328"/>
    </row>
    <row r="3" spans="1:8" s="7" customFormat="1" ht="25.15" customHeight="1">
      <c r="A3" s="13" t="s">
        <v>28</v>
      </c>
      <c r="B3" s="14"/>
      <c r="C3" s="14"/>
      <c r="D3" s="15"/>
      <c r="E3" s="181" t="s">
        <v>78</v>
      </c>
      <c r="F3" s="325" t="s">
        <v>77</v>
      </c>
    </row>
    <row r="4" spans="1:8">
      <c r="A4" s="5" t="s">
        <v>14</v>
      </c>
      <c r="B4" s="5" t="s">
        <v>15</v>
      </c>
      <c r="C4" s="12" t="s">
        <v>26</v>
      </c>
      <c r="D4" s="9"/>
      <c r="E4" s="182" t="s">
        <v>26</v>
      </c>
      <c r="F4" s="326"/>
    </row>
    <row r="5" spans="1:8">
      <c r="A5" s="20" t="s">
        <v>16</v>
      </c>
      <c r="B5" s="6" t="str">
        <f>Setup!$B$7</f>
        <v>BOYS 10</v>
      </c>
      <c r="C5" s="3" t="str">
        <f>IF(OR(Draw!J5="bye",Draw!J5="LWD"),"",CONCATENATE(LEFT(Draw!J5,FIND(" ",Draw!J5)+1)," (",Draw!L5,")"))</f>
        <v>ΣΑΡΡΗΣ Δ (ΡΗΓΑΣ ΑΟΑΑ)</v>
      </c>
      <c r="D5" s="10" t="str">
        <f>IF(OR(C5="",E5="")," ","-")</f>
        <v xml:space="preserve"> </v>
      </c>
      <c r="E5" s="3" t="str">
        <f>IF(OR(Draw!J6="bye",Draw!J6="LWD"), "", CONCATENATE(LEFT(Draw!J6,FIND(" ",Draw!J6)+1)," (",Draw!L6,")"))</f>
        <v/>
      </c>
      <c r="F5" s="180"/>
    </row>
    <row r="6" spans="1:8">
      <c r="A6" s="20"/>
      <c r="B6" s="6" t="str">
        <f>Setup!$B$7</f>
        <v>BOYS 10</v>
      </c>
      <c r="C6" s="3" t="str">
        <f>IF(OR(Draw!J7="bye",Draw!J7="LWD"),"",CONCATENATE(LEFT(Draw!J7,FIND(" ",Draw!J7)+1)," (",Draw!L7,")"))</f>
        <v>ΠΑΠΑΧΑΤΖΗΣ Γ (ΤΡΟΙΖΙΝΙΑΚΟΣ)</v>
      </c>
      <c r="D6" s="10" t="str">
        <f t="shared" ref="D6:D20" si="0">IF(OR(C6="",E6="")," ","-")</f>
        <v xml:space="preserve"> </v>
      </c>
      <c r="E6" s="3" t="str">
        <f>IF(OR(Draw!J8="bye",Draw!J8="LWD"), "", CONCATENATE(LEFT(Draw!J8,FIND(" ",Draw!J8)+1)," (",Draw!L8,")"))</f>
        <v/>
      </c>
      <c r="F6" s="180"/>
    </row>
    <row r="7" spans="1:8">
      <c r="A7" s="20"/>
      <c r="B7" s="6" t="str">
        <f>Setup!$B$7</f>
        <v>BOYS 10</v>
      </c>
      <c r="C7" s="3" t="str">
        <f>IF(OR(Draw!J9="bye",Draw!J9="LWD"),"",CONCATENATE(LEFT(Draw!J9,FIND(" ",Draw!J9)+1)," (",Draw!L9,")"))</f>
        <v>ΣΤΑΙΚΟΣ Γ (ΤΡΟΙΖΙΝΙΑΚΟΣ)</v>
      </c>
      <c r="D7" s="10" t="str">
        <f t="shared" si="0"/>
        <v xml:space="preserve"> </v>
      </c>
      <c r="E7" s="3" t="str">
        <f>IF(OR(Draw!J10="bye",Draw!J10="LWD"), "", CONCATENATE(LEFT(Draw!J10,FIND(" ",Draw!J10)+1)," (",Draw!L10,")"))</f>
        <v/>
      </c>
      <c r="F7" s="180"/>
    </row>
    <row r="8" spans="1:8">
      <c r="A8" s="20"/>
      <c r="B8" s="6" t="str">
        <f>Setup!$B$7</f>
        <v>BOYS 10</v>
      </c>
      <c r="C8" s="3" t="str">
        <f>IF(OR(Draw!J11="bye",Draw!J11="LWD"),"",CONCATENATE(LEFT(Draw!J11,FIND(" ",Draw!J11)+1)," (",Draw!L11,")"))</f>
        <v/>
      </c>
      <c r="D8" s="10" t="str">
        <f t="shared" si="0"/>
        <v xml:space="preserve"> </v>
      </c>
      <c r="E8" s="3" t="str">
        <f>IF(OR(Draw!J12="bye",Draw!J12="LWD"), "", CONCATENATE(LEFT(Draw!J12,FIND(" ",Draw!J12)+1)," (",Draw!L12,")"))</f>
        <v>ΚΟΡΚΑΣ Α (ΑΟΑ ΣΙΚΥΩΝΟΣ ΚΙΑΤΟΥ)</v>
      </c>
      <c r="F8" s="180"/>
    </row>
    <row r="9" spans="1:8">
      <c r="A9" s="20" t="s">
        <v>17</v>
      </c>
      <c r="B9" s="6" t="str">
        <f>Setup!$B$7</f>
        <v>BOYS 10</v>
      </c>
      <c r="C9" s="3" t="str">
        <f>IF(OR(Draw!J13="bye",Draw!J13="LWD"),"",CONCATENATE(LEFT(Draw!J13,FIND(" ",Draw!J13)+1)," (",Draw!L13,")"))</f>
        <v>ΜΑΓΟΥΛΑΣ Α (ΡΗΓΑΣ ΑΟΑΑ)</v>
      </c>
      <c r="D9" s="10" t="str">
        <f t="shared" si="0"/>
        <v xml:space="preserve"> </v>
      </c>
      <c r="E9" s="3" t="str">
        <f>IF(OR(Draw!J14="bye",Draw!J14="LWD"), "", CONCATENATE(LEFT(Draw!J14,FIND(" ",Draw!J14)+1)," (",Draw!L14,")"))</f>
        <v/>
      </c>
      <c r="F9" s="180"/>
    </row>
    <row r="10" spans="1:8">
      <c r="B10" s="6" t="str">
        <f>Setup!$B$7</f>
        <v>BOYS 10</v>
      </c>
      <c r="C10" s="3" t="str">
        <f>IF(OR(Draw!J15="bye",Draw!J15="LWD"),"",CONCATENATE(LEFT(Draw!J15,FIND(" ",Draw!J15)+1)," (",Draw!L15,")"))</f>
        <v>ΤΖΩΡΤΖΑΤΟΣ Δ (0)</v>
      </c>
      <c r="D10" s="10" t="str">
        <f t="shared" si="0"/>
        <v xml:space="preserve"> </v>
      </c>
      <c r="E10" s="3" t="str">
        <f>IF(OR(Draw!J16="bye",Draw!J16="LWD"), "", CONCATENATE(LEFT(Draw!J16,FIND(" ",Draw!J16)+1)," (",Draw!L16,")"))</f>
        <v/>
      </c>
      <c r="F10" s="180"/>
    </row>
    <row r="11" spans="1:8">
      <c r="A11" s="8"/>
      <c r="B11" s="6" t="str">
        <f>Setup!$B$7</f>
        <v>BOYS 10</v>
      </c>
      <c r="C11" s="3" t="str">
        <f>IF(OR(Draw!J17="bye",Draw!J17="LWD"),"",CONCATENATE(LEFT(Draw!J17,FIND(" ",Draw!J17)+1)," (",Draw!L17,")"))</f>
        <v>ΠΟΥΛΙΚΑΡΑΚΟΣ Ν (ΟΑ ΚΑΛΑΜΑΤΑΣ)</v>
      </c>
      <c r="D11" s="10" t="str">
        <f t="shared" si="0"/>
        <v xml:space="preserve"> </v>
      </c>
      <c r="E11" s="3" t="str">
        <f>IF(OR(Draw!J18="bye",Draw!J18="LWD"), "", CONCATENATE(LEFT(Draw!J18,FIND(" ",Draw!J18)+1)," (",Draw!L18,")"))</f>
        <v/>
      </c>
      <c r="F11" s="180"/>
    </row>
    <row r="12" spans="1:8">
      <c r="A12" s="8"/>
      <c r="B12" s="6" t="str">
        <f>Setup!$B$7</f>
        <v>BOYS 10</v>
      </c>
      <c r="C12" s="3" t="str">
        <f>IF(OR(Draw!J19="bye",Draw!J19="LWD"),"",CONCATENATE(LEFT(Draw!J19,FIND(" ",Draw!J19)+1)," (",Draw!L19,")"))</f>
        <v/>
      </c>
      <c r="D12" s="10" t="str">
        <f t="shared" si="0"/>
        <v xml:space="preserve"> </v>
      </c>
      <c r="E12" s="3" t="str">
        <f>IF(OR(Draw!J20="bye",Draw!J20="LWD"), "", CONCATENATE(LEFT(Draw!J20,FIND(" ",Draw!J20)+1)," (",Draw!L20,")"))</f>
        <v>ΣΟΥΝΤΑΣ Σ (ΑΕΚ ΤΡΙΠΟΛΗΣ)</v>
      </c>
      <c r="F12" s="180"/>
    </row>
    <row r="13" spans="1:8">
      <c r="A13" s="20" t="s">
        <v>17</v>
      </c>
      <c r="B13" s="6" t="str">
        <f>Setup!$B$7</f>
        <v>BOYS 10</v>
      </c>
      <c r="C13" s="3" t="str">
        <f>IF(OR(Draw!J21="bye",Draw!J21="LWD"),"",CONCATENATE(LEFT(Draw!J21,FIND(" ",Draw!J21)+1)," (",Draw!L21,")"))</f>
        <v>ΛΕΚΚΑΣ Α (ΟΑ ΚΟΡΙΝΘΟΥ)</v>
      </c>
      <c r="D13" s="10" t="str">
        <f t="shared" si="0"/>
        <v xml:space="preserve"> </v>
      </c>
      <c r="E13" s="3" t="str">
        <f>IF(OR(Draw!J22="bye",Draw!J22="LWD"), "", CONCATENATE(LEFT(Draw!J22,FIND(" ",Draw!J22)+1)," (",Draw!L22,")"))</f>
        <v/>
      </c>
      <c r="F13" s="180"/>
    </row>
    <row r="14" spans="1:8">
      <c r="A14" s="8"/>
      <c r="B14" s="6" t="str">
        <f>Setup!$B$7</f>
        <v>BOYS 10</v>
      </c>
      <c r="C14" s="3" t="str">
        <f>IF(OR(Draw!J23="bye",Draw!J23="LWD"),"",CONCATENATE(LEFT(Draw!J23,FIND(" ",Draw!J23)+1)," (",Draw!L23,")"))</f>
        <v>ΣΠΗΛΙΟΠΟΥΛΟΣ Ν (ΑΕΤ ΝΙΚΗ ΠΑΤΡΩΝ)</v>
      </c>
      <c r="D14" s="10" t="str">
        <f t="shared" si="0"/>
        <v xml:space="preserve"> </v>
      </c>
      <c r="E14" s="3" t="str">
        <f>IF(OR(Draw!J24="bye",Draw!J24="LWD"), "", CONCATENATE(LEFT(Draw!J24,FIND(" ",Draw!J24)+1)," (",Draw!L24,")"))</f>
        <v/>
      </c>
      <c r="F14" s="180"/>
    </row>
    <row r="15" spans="1:8">
      <c r="B15" s="6" t="str">
        <f>Setup!$B$7</f>
        <v>BOYS 10</v>
      </c>
      <c r="C15" s="3" t="str">
        <f>IF(OR(Draw!J25="bye",Draw!J25="LWD"),"",CONCATENATE(LEFT(Draw!J25,FIND(" ",Draw!J25)+1)," (",Draw!L25,")"))</f>
        <v>ΚΛΑΔΟΣ Γ (ΤΡΟΙΖΙΝΙΑΚΟΣ)</v>
      </c>
      <c r="D15" s="10" t="str">
        <f t="shared" si="0"/>
        <v xml:space="preserve"> </v>
      </c>
      <c r="E15" s="3" t="str">
        <f>IF(OR(Draw!J26="bye",Draw!J26="LWD"), "", CONCATENATE(LEFT(Draw!J26,FIND(" ",Draw!J26)+1)," (",Draw!L26,")"))</f>
        <v/>
      </c>
      <c r="F15" s="180"/>
    </row>
    <row r="16" spans="1:8">
      <c r="A16" s="8"/>
      <c r="B16" s="6" t="str">
        <f>Setup!$B$7</f>
        <v>BOYS 10</v>
      </c>
      <c r="C16" s="3" t="str">
        <f>IF(OR(Draw!J27="bye",Draw!J27="LWD"),"",CONCATENATE(LEFT(Draw!J27,FIND(" ",Draw!J27)+1)," (",Draw!L27,")"))</f>
        <v/>
      </c>
      <c r="D16" s="10" t="str">
        <f t="shared" si="0"/>
        <v xml:space="preserve"> </v>
      </c>
      <c r="E16" s="3" t="str">
        <f>IF(OR(Draw!J28="bye",Draw!J28="LWD"), "", CONCATENATE(LEFT(Draw!J28,FIND(" ",Draw!J28)+1)," (",Draw!L28,")"))</f>
        <v>ΤΡΙΑΝΤΑΦΥΛΛΟΥ Γ (ΑΕΚ ΤΡΙΠΟΛΗΣ)</v>
      </c>
      <c r="F16" s="180"/>
    </row>
    <row r="17" spans="1:6">
      <c r="A17" s="20" t="s">
        <v>17</v>
      </c>
      <c r="B17" s="6" t="str">
        <f>Setup!$B$7</f>
        <v>BOYS 10</v>
      </c>
      <c r="C17" s="3" t="str">
        <f>IF(OR(Draw!J29="bye",Draw!J29="LWD"),"",CONCATENATE(LEFT(Draw!J29,FIND(" ",Draw!J29)+1)," (",Draw!L29,")"))</f>
        <v>ΘΕΟΔΩΡΟΠΟΥΛΟΣ Π (ΑΕΤΟΙ ΚΟΡΙΝΘΙΑΣ)</v>
      </c>
      <c r="D17" s="10" t="str">
        <f t="shared" si="0"/>
        <v xml:space="preserve"> </v>
      </c>
      <c r="E17" s="3" t="str">
        <f>IF(OR(Draw!J30="bye",Draw!J30="LWD"), "", CONCATENATE(LEFT(Draw!J30,FIND(" ",Draw!J30)+1)," (",Draw!L30,")"))</f>
        <v/>
      </c>
      <c r="F17" s="180"/>
    </row>
    <row r="18" spans="1:6">
      <c r="A18" s="8"/>
      <c r="B18" s="6" t="str">
        <f>Setup!$B$7</f>
        <v>BOYS 10</v>
      </c>
      <c r="C18" s="3" t="str">
        <f>IF(OR(Draw!J31="bye",Draw!J31="LWD"),"",CONCATENATE(LEFT(Draw!J31,FIND(" ",Draw!J31)+1)," (",Draw!L31,")"))</f>
        <v>ΤΣΑΓΚΑΡΕΛΗΣ Α (ΑΕΚ ΤΡΙΠΟΛΗΣ)</v>
      </c>
      <c r="D18" s="10" t="str">
        <f t="shared" si="0"/>
        <v xml:space="preserve"> </v>
      </c>
      <c r="E18" s="3" t="str">
        <f>IF(OR(Draw!J32="bye",Draw!J32="LWD"), "", CONCATENATE(LEFT(Draw!J32,FIND(" ",Draw!J32)+1)," (",Draw!L32,")"))</f>
        <v/>
      </c>
      <c r="F18" s="180"/>
    </row>
    <row r="19" spans="1:6">
      <c r="A19" s="8"/>
      <c r="B19" s="6" t="str">
        <f>Setup!$B$7</f>
        <v>BOYS 10</v>
      </c>
      <c r="C19" s="3" t="str">
        <f>IF(OR(Draw!J33="bye",Draw!J33="LWD"),"",CONCATENATE(LEFT(Draw!J33,FIND(" ",Draw!J33)+1)," (",Draw!L33,")"))</f>
        <v>ΚΑΣΤΡΑΝΤΑΣ Χ (ΑΕΚ ΤΡΙΠΟΛΗΣ)</v>
      </c>
      <c r="D19" s="10" t="str">
        <f t="shared" si="0"/>
        <v>-</v>
      </c>
      <c r="E19" s="3" t="str">
        <f>IF(OR(Draw!J34="bye",Draw!J34="LWD"), "", CONCATENATE(LEFT(Draw!J34,FIND(" ",Draw!J34)+1)," (",Draw!L34,")"))</f>
        <v>ΑΡΑΠΙ Μ (ΑΤΚ ΒΕΛΟ)</v>
      </c>
      <c r="F19" s="180"/>
    </row>
    <row r="20" spans="1:6">
      <c r="A20" s="20"/>
      <c r="B20" s="6" t="str">
        <f>Setup!$B$7</f>
        <v>BOYS 10</v>
      </c>
      <c r="C20" s="3" t="str">
        <f>IF(OR(Draw!J35="bye",Draw!J35="LWD"),"",CONCATENATE(LEFT(Draw!J35,FIND(" ",Draw!J35)+1)," (",Draw!L35,")"))</f>
        <v/>
      </c>
      <c r="D20" s="10" t="str">
        <f t="shared" si="0"/>
        <v xml:space="preserve"> </v>
      </c>
      <c r="E20" s="3" t="str">
        <f>IF(OR(Draw!J36="bye",Draw!J36="LWD"), "", CONCATENATE(LEFT(Draw!J36,FIND(" ",Draw!J36)+1)," (",Draw!L36,")"))</f>
        <v>ΑΝΤΩΝΟΠΟΥΛΟΣ Γ (ΑΡΚΑΔΙΚΟΣ ΑΟΑ)</v>
      </c>
      <c r="F20" s="180"/>
    </row>
    <row r="22" spans="1:6" ht="25.15" customHeight="1">
      <c r="A22" s="13" t="s">
        <v>28</v>
      </c>
      <c r="B22" s="14"/>
      <c r="C22" s="14"/>
      <c r="D22" s="15"/>
      <c r="E22" s="181" t="s">
        <v>30</v>
      </c>
      <c r="F22" s="325" t="s">
        <v>77</v>
      </c>
    </row>
    <row r="23" spans="1:6" ht="12" customHeight="1">
      <c r="A23" s="5" t="s">
        <v>14</v>
      </c>
      <c r="B23" s="5" t="s">
        <v>15</v>
      </c>
      <c r="C23" s="12" t="s">
        <v>26</v>
      </c>
      <c r="D23" s="9"/>
      <c r="E23" s="182" t="s">
        <v>26</v>
      </c>
      <c r="F23" s="326"/>
    </row>
    <row r="24" spans="1:6">
      <c r="A24" s="20" t="s">
        <v>16</v>
      </c>
      <c r="B24" s="6" t="str">
        <f>Setup!$B$7</f>
        <v>BOYS 10</v>
      </c>
      <c r="C24" s="3" t="str">
        <f>IF(Draw!M5="", "", IF(Draw!M5=1, CONCATENATE(LEFT(Draw!J5,FIND(" ",Draw!J5)+1)," (",Draw!L5,")"),CONCATENATE(LEFT(Draw!J6,FIND(" ",Draw!J6)+1)," (",Draw!L6,")")))</f>
        <v>ΣΑΡΡΗΣ Δ (ΡΗΓΑΣ ΑΟΑΑ)</v>
      </c>
      <c r="D24" s="10" t="str">
        <f t="shared" ref="D24:D31" si="1">IF(OR(C24="",E24="")," ","-")</f>
        <v>-</v>
      </c>
      <c r="E24" s="3" t="str">
        <f>IF(Draw!M7="", "", IF(Draw!M7=1, CONCATENATE(LEFT(Draw!J7,FIND(" ",Draw!J7)+1)," (",Draw!L7,")"),CONCATENATE(LEFT(Draw!J8,FIND(" ",Draw!J8)+1)," (",Draw!L8,")")))</f>
        <v>ΠΑΠΑΧΑΤΖΗΣ Γ (ΤΡΟΙΖΙΝΙΑΚΟΣ)</v>
      </c>
      <c r="F24" s="180"/>
    </row>
    <row r="25" spans="1:6">
      <c r="A25" s="20"/>
      <c r="B25" s="6" t="str">
        <f>Setup!$B$7</f>
        <v>BOYS 10</v>
      </c>
      <c r="C25" s="3" t="str">
        <f>IF(Draw!M9="", "", IF(Draw!M9=1, CONCATENATE(LEFT(Draw!J9,FIND(" ",Draw!J9)+1)," (",Draw!L9,")"),CONCATENATE(LEFT(Draw!J10,FIND(" ",Draw!J10)+1)," (",Draw!L10,")")))</f>
        <v>ΣΤΑΙΚΟΣ Γ (ΤΡΟΙΖΙΝΙΑΚΟΣ)</v>
      </c>
      <c r="D25" s="10" t="str">
        <f t="shared" si="1"/>
        <v>-</v>
      </c>
      <c r="E25" s="3" t="str">
        <f>IF(Draw!M11="", "", IF(Draw!M11=1, CONCATENATE(LEFT(Draw!J11,FIND(" ",Draw!J11)+1)," (",Draw!L11,")"),CONCATENATE(LEFT(Draw!J12,FIND(" ",Draw!J12)+1)," (",Draw!L12,")")))</f>
        <v>ΚΟΡΚΑΣ Α (ΑΟΑ ΣΙΚΥΩΝΟΣ ΚΙΑΤΟΥ)</v>
      </c>
      <c r="F25" s="180"/>
    </row>
    <row r="26" spans="1:6">
      <c r="A26" s="20"/>
      <c r="B26" s="6" t="str">
        <f>Setup!$B$7</f>
        <v>BOYS 10</v>
      </c>
      <c r="C26" s="3" t="str">
        <f>IF(Draw!M13="", "", IF(Draw!M13=1, CONCATENATE(LEFT(Draw!J13,FIND(" ",Draw!J13)+1)," (",Draw!L13,")"),CONCATENATE(LEFT(Draw!J14,FIND(" ",Draw!J14)+1)," (",Draw!L14,")")))</f>
        <v>ΜΑΓΟΥΛΑΣ Α (ΡΗΓΑΣ ΑΟΑΑ)</v>
      </c>
      <c r="D26" s="10" t="str">
        <f t="shared" si="1"/>
        <v>-</v>
      </c>
      <c r="E26" s="3" t="str">
        <f>IF(Draw!M15="", "", IF(Draw!M15=1, CONCATENATE(LEFT(Draw!J15,FIND(" ",Draw!J15)+1)," (",Draw!L15,")"),CONCATENATE(LEFT(Draw!J16,FIND(" ",Draw!J16)+1)," (",Draw!L16,")")))</f>
        <v>ΤΖΩΡΤΖΑΤΟΣ Δ (0)</v>
      </c>
      <c r="F26" s="180"/>
    </row>
    <row r="27" spans="1:6">
      <c r="A27" s="20"/>
      <c r="B27" s="6" t="str">
        <f>Setup!$B$7</f>
        <v>BOYS 10</v>
      </c>
      <c r="C27" s="3" t="str">
        <f>IF(Draw!M17="", "", IF(Draw!M17=1, CONCATENATE(LEFT(Draw!J17,FIND(" ",Draw!J17)+1)," (",Draw!L17,")"),CONCATENATE(LEFT(Draw!J18,FIND(" ",Draw!J18)+1)," (",Draw!L18,")")))</f>
        <v>ΠΟΥΛΙΚΑΡΑΚΟΣ Ν (ΟΑ ΚΑΛΑΜΑΤΑΣ)</v>
      </c>
      <c r="D27" s="10" t="str">
        <f t="shared" si="1"/>
        <v>-</v>
      </c>
      <c r="E27" s="3" t="str">
        <f>IF(Draw!M19="", "", IF(Draw!M19=1, CONCATENATE(LEFT(Draw!J19,FIND(" ",Draw!J19)+1)," (",Draw!L19,")"),CONCATENATE(LEFT(Draw!J20,FIND(" ",Draw!J20)+1)," (",Draw!L20,")")))</f>
        <v>ΣΟΥΝΤΑΣ Σ (ΑΕΚ ΤΡΙΠΟΛΗΣ)</v>
      </c>
      <c r="F27" s="180"/>
    </row>
    <row r="28" spans="1:6">
      <c r="A28" s="20" t="s">
        <v>17</v>
      </c>
      <c r="B28" s="6" t="str">
        <f>Setup!$B$7</f>
        <v>BOYS 10</v>
      </c>
      <c r="C28" s="3" t="str">
        <f>IF(Draw!M21="", "", IF(Draw!M21=1, CONCATENATE(LEFT(Draw!J21,FIND(" ",Draw!J21)+1)," (",Draw!L21,")"),CONCATENATE(LEFT(Draw!J22,FIND(" ",Draw!J22)+1)," (",Draw!L22,")")))</f>
        <v>ΛΕΚΚΑΣ Α (ΟΑ ΚΟΡΙΝΘΟΥ)</v>
      </c>
      <c r="D28" s="10" t="str">
        <f t="shared" si="1"/>
        <v>-</v>
      </c>
      <c r="E28" s="3" t="str">
        <f>IF(Draw!M23="", "", IF(Draw!M23=1, CONCATENATE(LEFT(Draw!J23,FIND(" ",Draw!J23)+1)," (",Draw!L23,")"),CONCATENATE(LEFT(Draw!J24,FIND(" ",Draw!J24)+1)," (",Draw!L24,")")))</f>
        <v>ΣΠΗΛΙΟΠΟΥΛΟΣ Ν (ΑΕΤ ΝΙΚΗ ΠΑΤΡΩΝ)</v>
      </c>
      <c r="F28" s="180"/>
    </row>
    <row r="29" spans="1:6">
      <c r="B29" s="6" t="str">
        <f>Setup!$B$7</f>
        <v>BOYS 10</v>
      </c>
      <c r="C29" s="3" t="str">
        <f>IF(Draw!M25="", "", IF(Draw!M25=1, CONCATENATE(LEFT(Draw!J25,FIND(" ",Draw!J25)+1)," (",Draw!L25,")"),CONCATENATE(LEFT(Draw!J26,FIND(" ",Draw!J26)+1)," (",Draw!L26,")")))</f>
        <v>ΚΛΑΔΟΣ Γ (ΤΡΟΙΖΙΝΙΑΚΟΣ)</v>
      </c>
      <c r="D29" s="10" t="str">
        <f t="shared" si="1"/>
        <v>-</v>
      </c>
      <c r="E29" s="3" t="str">
        <f>IF(Draw!M27="", "", IF(Draw!M27=1, CONCATENATE(LEFT(Draw!J27,FIND(" ",Draw!J27)+1)," (",Draw!L27,")"),CONCATENATE(LEFT(Draw!J28,FIND(" ",Draw!J28)+1)," (",Draw!L28,")")))</f>
        <v>ΤΡΙΑΝΤΑΦΥΛΛΟΥ Γ (ΑΕΚ ΤΡΙΠΟΛΗΣ)</v>
      </c>
      <c r="F29" s="180"/>
    </row>
    <row r="30" spans="1:6">
      <c r="A30" s="8"/>
      <c r="B30" s="6" t="str">
        <f>Setup!$B$7</f>
        <v>BOYS 10</v>
      </c>
      <c r="C30" s="3" t="str">
        <f>IF(Draw!M29="", "", IF(Draw!M29=1, CONCATENATE(LEFT(Draw!J29,FIND(" ",Draw!J29)+1)," (",Draw!L29,")"),CONCATENATE(LEFT(Draw!J30,FIND(" ",Draw!J30)+1)," (",Draw!L30,")")))</f>
        <v>ΘΕΟΔΩΡΟΠΟΥΛΟΣ Π (ΑΕΤΟΙ ΚΟΡΙΝΘΙΑΣ)</v>
      </c>
      <c r="D30" s="10" t="str">
        <f t="shared" si="1"/>
        <v>-</v>
      </c>
      <c r="E30" s="3" t="str">
        <f>IF(Draw!M31="", "", IF(Draw!M31=1, CONCATENATE(LEFT(Draw!J31,FIND(" ",Draw!J31)+1)," (",Draw!L31,")"),CONCATENATE(LEFT(Draw!J32,FIND(" ",Draw!J32)+1)," (",Draw!L32,")")))</f>
        <v>ΤΣΑΓΚΑΡΕΛΗΣ Α (ΑΕΚ ΤΡΙΠΟΛΗΣ)</v>
      </c>
      <c r="F30" s="180"/>
    </row>
    <row r="31" spans="1:6">
      <c r="A31" s="8"/>
      <c r="B31" s="6" t="str">
        <f>Setup!$B$7</f>
        <v>BOYS 10</v>
      </c>
      <c r="C31" s="3" t="str">
        <f>IF(Draw!M33="", "", IF(Draw!M33=1, CONCATENATE(LEFT(Draw!J33,FIND(" ",Draw!J33)+1)," (",Draw!L33,")"),CONCATENATE(LEFT(Draw!J34,FIND(" ",Draw!J34)+1)," (",Draw!L34,")")))</f>
        <v>ΚΑΣΤΡΑΝΤΑΣ Χ (ΑΕΚ ΤΡΙΠΟΛΗΣ)</v>
      </c>
      <c r="D31" s="10" t="str">
        <f t="shared" si="1"/>
        <v>-</v>
      </c>
      <c r="E31" s="3" t="str">
        <f>IF(Draw!M35="", "", IF(Draw!M35=1, CONCATENATE(LEFT(Draw!J35,FIND(" ",Draw!J35)+1)," (",Draw!L35,")"),CONCATENATE(LEFT(Draw!J36,FIND(" ",Draw!J36)+1)," (",Draw!L36,")")))</f>
        <v>ΑΝΤΩΝΟΠΟΥΛΟΣ Γ (ΑΡΚΑΔΙΚΟΣ ΑΟΑ)</v>
      </c>
      <c r="F31" s="180"/>
    </row>
    <row r="37" spans="1:5" ht="15.75">
      <c r="A37" s="17" t="s">
        <v>31</v>
      </c>
      <c r="B37" s="18"/>
      <c r="C37" s="18"/>
      <c r="D37" s="18"/>
      <c r="E37" s="18"/>
    </row>
  </sheetData>
  <sheetProtection password="CF33" sheet="1" objects="1" scenarios="1" formatCells="0" formatColumns="0" formatRows="0" sort="0"/>
  <mergeCells count="4">
    <mergeCell ref="F3:F4"/>
    <mergeCell ref="F22:F23"/>
    <mergeCell ref="A1:F1"/>
    <mergeCell ref="A2:F2"/>
  </mergeCells>
  <phoneticPr fontId="1" type="noConversion"/>
  <printOptions horizontalCentered="1" gridLines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F89"/>
  <sheetViews>
    <sheetView zoomScaleNormal="100" workbookViewId="0">
      <selection activeCell="E46" sqref="E46"/>
    </sheetView>
  </sheetViews>
  <sheetFormatPr defaultColWidth="8.85546875" defaultRowHeight="12"/>
  <cols>
    <col min="1" max="1" width="7.28515625" style="4" bestFit="1" customWidth="1"/>
    <col min="2" max="2" width="6.7109375" style="1" customWidth="1"/>
    <col min="3" max="3" width="38.7109375" style="1" customWidth="1"/>
    <col min="4" max="4" width="1.28515625" style="1" bestFit="1" customWidth="1"/>
    <col min="5" max="5" width="38.7109375" style="1" customWidth="1"/>
    <col min="6" max="6" width="4.7109375" style="1" customWidth="1"/>
    <col min="7" max="16384" width="8.85546875" style="1"/>
  </cols>
  <sheetData>
    <row r="1" spans="1:6" s="2" customFormat="1" ht="18">
      <c r="A1" s="327" t="str">
        <f>Setup!B3 &amp; ", " &amp; Setup!B4 &amp; ", " &amp; Setup!B6  &amp; " (" &amp; Setup!B7 &amp; ")"</f>
        <v>ΣΤ' ΕΝΩΣΗ, Open Προπαιδικό U10, ΡΗΓΑΣ ΑΟΑΑ (BOYS 10)</v>
      </c>
      <c r="B1" s="327"/>
      <c r="C1" s="327"/>
      <c r="D1" s="327"/>
      <c r="E1" s="327"/>
      <c r="F1" s="327"/>
    </row>
    <row r="2" spans="1:6" ht="12.75">
      <c r="A2" s="328" t="str">
        <f>Setup!$B$10</f>
        <v>ΚΟΚΚΟΣΗ ΧΑΡΑ</v>
      </c>
      <c r="B2" s="328"/>
      <c r="C2" s="328"/>
      <c r="D2" s="328"/>
      <c r="E2" s="328"/>
      <c r="F2" s="328"/>
    </row>
    <row r="3" spans="1:6" s="7" customFormat="1" ht="25.15" customHeight="1">
      <c r="A3" s="13" t="s">
        <v>28</v>
      </c>
      <c r="B3" s="14"/>
      <c r="C3" s="14"/>
      <c r="D3" s="15"/>
      <c r="E3" s="16" t="s">
        <v>78</v>
      </c>
      <c r="F3" s="329" t="s">
        <v>77</v>
      </c>
    </row>
    <row r="4" spans="1:6">
      <c r="A4" s="5" t="s">
        <v>14</v>
      </c>
      <c r="B4" s="5" t="s">
        <v>15</v>
      </c>
      <c r="C4" s="12" t="s">
        <v>26</v>
      </c>
      <c r="D4" s="9"/>
      <c r="E4" s="11" t="s">
        <v>26</v>
      </c>
      <c r="F4" s="330"/>
    </row>
    <row r="5" spans="1:6">
      <c r="A5" s="20" t="s">
        <v>16</v>
      </c>
      <c r="B5" s="6"/>
      <c r="C5" s="3"/>
      <c r="D5" s="10"/>
      <c r="E5" s="3"/>
      <c r="F5" s="179"/>
    </row>
    <row r="6" spans="1:6">
      <c r="A6" s="20"/>
      <c r="B6" s="6"/>
      <c r="C6" s="3"/>
      <c r="D6" s="10"/>
      <c r="E6" s="3"/>
      <c r="F6" s="180"/>
    </row>
    <row r="7" spans="1:6">
      <c r="A7" s="20"/>
      <c r="B7" s="6"/>
      <c r="C7" s="3"/>
      <c r="D7" s="10"/>
      <c r="E7" s="3"/>
      <c r="F7" s="180"/>
    </row>
    <row r="8" spans="1:6">
      <c r="A8" s="20"/>
      <c r="B8" s="6"/>
      <c r="C8" s="3"/>
      <c r="D8" s="10"/>
      <c r="E8" s="3"/>
      <c r="F8" s="180"/>
    </row>
    <row r="9" spans="1:6">
      <c r="A9" s="8"/>
      <c r="B9" s="6"/>
      <c r="C9" s="3"/>
      <c r="D9" s="10"/>
      <c r="E9" s="3"/>
      <c r="F9" s="180"/>
    </row>
    <row r="10" spans="1:6">
      <c r="A10" s="20" t="s">
        <v>17</v>
      </c>
      <c r="B10" s="6"/>
      <c r="C10" s="3"/>
      <c r="D10" s="10"/>
      <c r="E10" s="3"/>
      <c r="F10" s="180"/>
    </row>
    <row r="11" spans="1:6">
      <c r="A11" s="8"/>
      <c r="B11" s="6"/>
      <c r="C11" s="3"/>
      <c r="D11" s="10"/>
      <c r="E11" s="3"/>
      <c r="F11" s="180"/>
    </row>
    <row r="12" spans="1:6">
      <c r="A12" s="8"/>
      <c r="B12" s="6"/>
      <c r="C12" s="3"/>
      <c r="D12" s="10"/>
      <c r="E12" s="3"/>
      <c r="F12" s="180"/>
    </row>
    <row r="13" spans="1:6">
      <c r="A13" s="20"/>
      <c r="B13" s="6"/>
      <c r="C13" s="3"/>
      <c r="D13" s="10"/>
      <c r="E13" s="3"/>
      <c r="F13" s="180"/>
    </row>
    <row r="14" spans="1:6">
      <c r="A14" s="8"/>
      <c r="B14" s="6"/>
      <c r="C14" s="3"/>
      <c r="D14" s="10"/>
      <c r="E14" s="3"/>
      <c r="F14" s="180"/>
    </row>
    <row r="15" spans="1:6">
      <c r="A15" s="20" t="s">
        <v>17</v>
      </c>
      <c r="B15" s="6"/>
      <c r="C15" s="3"/>
      <c r="D15" s="10"/>
      <c r="E15" s="3"/>
      <c r="F15" s="180"/>
    </row>
    <row r="16" spans="1:6">
      <c r="A16" s="8"/>
      <c r="B16" s="6"/>
      <c r="C16" s="3"/>
      <c r="D16" s="10"/>
      <c r="E16" s="3"/>
      <c r="F16" s="180"/>
    </row>
    <row r="17" spans="1:6">
      <c r="A17" s="8"/>
      <c r="B17" s="6"/>
      <c r="C17" s="3"/>
      <c r="D17" s="10"/>
      <c r="E17" s="3"/>
      <c r="F17" s="180"/>
    </row>
    <row r="18" spans="1:6">
      <c r="A18" s="8"/>
      <c r="B18" s="6"/>
      <c r="C18" s="3"/>
      <c r="D18" s="10"/>
      <c r="E18" s="3"/>
      <c r="F18" s="180"/>
    </row>
    <row r="19" spans="1:6">
      <c r="A19" s="8"/>
      <c r="B19" s="6"/>
      <c r="C19" s="3"/>
      <c r="D19" s="10"/>
      <c r="E19" s="3"/>
      <c r="F19" s="180"/>
    </row>
    <row r="20" spans="1:6">
      <c r="A20" s="20"/>
      <c r="B20" s="6"/>
      <c r="C20" s="3"/>
      <c r="D20" s="10"/>
      <c r="E20" s="3"/>
      <c r="F20" s="180"/>
    </row>
    <row r="21" spans="1:6">
      <c r="A21" s="8"/>
    </row>
    <row r="22" spans="1:6">
      <c r="A22" s="8"/>
    </row>
    <row r="23" spans="1:6">
      <c r="A23" s="8"/>
    </row>
    <row r="24" spans="1:6">
      <c r="A24" s="8"/>
    </row>
    <row r="25" spans="1:6">
      <c r="A25" s="8"/>
    </row>
    <row r="26" spans="1:6">
      <c r="A26" s="8"/>
    </row>
    <row r="27" spans="1:6">
      <c r="A27" s="8"/>
    </row>
    <row r="28" spans="1:6">
      <c r="A28" s="8"/>
    </row>
    <row r="29" spans="1:6">
      <c r="A29" s="8"/>
    </row>
    <row r="30" spans="1:6">
      <c r="A30" s="8"/>
    </row>
    <row r="31" spans="1:6">
      <c r="A31" s="8"/>
    </row>
    <row r="32" spans="1:6">
      <c r="A32" s="8"/>
    </row>
    <row r="33" spans="1:1">
      <c r="A33" s="8"/>
    </row>
    <row r="34" spans="1:1">
      <c r="A34" s="8"/>
    </row>
    <row r="35" spans="1:1">
      <c r="A35" s="8"/>
    </row>
    <row r="36" spans="1:1">
      <c r="A36" s="8"/>
    </row>
    <row r="37" spans="1:1">
      <c r="A37" s="8"/>
    </row>
    <row r="38" spans="1:1">
      <c r="A38" s="8"/>
    </row>
    <row r="39" spans="1:1">
      <c r="A39" s="8"/>
    </row>
    <row r="40" spans="1:1">
      <c r="A40" s="8"/>
    </row>
    <row r="41" spans="1:1">
      <c r="A41" s="8"/>
    </row>
    <row r="42" spans="1:1">
      <c r="A42" s="8"/>
    </row>
    <row r="43" spans="1:1">
      <c r="A43" s="8"/>
    </row>
    <row r="44" spans="1:1">
      <c r="A44" s="8"/>
    </row>
    <row r="45" spans="1:1">
      <c r="A45" s="8"/>
    </row>
    <row r="46" spans="1:1">
      <c r="A46" s="8"/>
    </row>
    <row r="47" spans="1:1">
      <c r="A47" s="8"/>
    </row>
    <row r="48" spans="1:1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8"/>
    </row>
    <row r="58" spans="1:1">
      <c r="A58" s="8"/>
    </row>
    <row r="59" spans="1:1">
      <c r="A59" s="8"/>
    </row>
    <row r="60" spans="1:1">
      <c r="A60" s="8"/>
    </row>
    <row r="61" spans="1:1">
      <c r="A61" s="8"/>
    </row>
    <row r="62" spans="1:1">
      <c r="A62" s="8"/>
    </row>
    <row r="63" spans="1:1">
      <c r="A63" s="8"/>
    </row>
    <row r="64" spans="1:1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72" spans="1:1">
      <c r="A72" s="8"/>
    </row>
    <row r="73" spans="1:1">
      <c r="A73" s="8"/>
    </row>
    <row r="74" spans="1:1">
      <c r="A74" s="8"/>
    </row>
    <row r="75" spans="1:1">
      <c r="A75" s="8"/>
    </row>
    <row r="76" spans="1:1">
      <c r="A76" s="8"/>
    </row>
    <row r="77" spans="1:1">
      <c r="A77" s="8"/>
    </row>
    <row r="78" spans="1:1">
      <c r="A78" s="8"/>
    </row>
    <row r="79" spans="1:1">
      <c r="A79" s="8"/>
    </row>
    <row r="80" spans="1:1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</sheetData>
  <sortState ref="C5:E20">
    <sortCondition ref="D5"/>
  </sortState>
  <mergeCells count="3">
    <mergeCell ref="F3:F4"/>
    <mergeCell ref="A1:F1"/>
    <mergeCell ref="A2:F2"/>
  </mergeCells>
  <phoneticPr fontId="1" type="noConversion"/>
  <printOptions horizontalCentered="1" gridLines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/>
  <dimension ref="A1:F39"/>
  <sheetViews>
    <sheetView workbookViewId="0">
      <selection activeCell="E46" sqref="E46"/>
    </sheetView>
  </sheetViews>
  <sheetFormatPr defaultColWidth="8.85546875" defaultRowHeight="12"/>
  <cols>
    <col min="1" max="1" width="7.28515625" style="4" bestFit="1" customWidth="1"/>
    <col min="2" max="2" width="5.85546875" style="1" bestFit="1" customWidth="1"/>
    <col min="3" max="3" width="38.7109375" style="1" customWidth="1"/>
    <col min="4" max="4" width="1.28515625" style="1" bestFit="1" customWidth="1"/>
    <col min="5" max="5" width="38.7109375" style="1" customWidth="1"/>
    <col min="6" max="6" width="5.7109375" style="1" customWidth="1"/>
    <col min="7" max="16384" width="8.85546875" style="1"/>
  </cols>
  <sheetData>
    <row r="1" spans="1:6" s="2" customFormat="1" ht="18">
      <c r="A1" s="327" t="str">
        <f>Setup!B3 &amp; ", " &amp; Setup!B4 &amp; ", " &amp; Setup!B6  &amp; " (" &amp; Setup!B7 &amp; ")"</f>
        <v>ΣΤ' ΕΝΩΣΗ, Open Προπαιδικό U10, ΡΗΓΑΣ ΑΟΑΑ (BOYS 10)</v>
      </c>
      <c r="B1" s="327"/>
      <c r="C1" s="327"/>
      <c r="D1" s="327"/>
      <c r="E1" s="327"/>
      <c r="F1" s="327"/>
    </row>
    <row r="2" spans="1:6" ht="12.75">
      <c r="A2" s="328" t="str">
        <f>Setup!$B$10</f>
        <v>ΚΟΚΚΟΣΗ ΧΑΡΑ</v>
      </c>
      <c r="B2" s="328"/>
      <c r="C2" s="328"/>
      <c r="D2" s="328"/>
      <c r="E2" s="328"/>
      <c r="F2" s="328"/>
    </row>
    <row r="3" spans="1:6" s="7" customFormat="1" ht="25.15" customHeight="1">
      <c r="A3" s="13" t="s">
        <v>28</v>
      </c>
      <c r="B3" s="14"/>
      <c r="C3" s="14"/>
      <c r="D3" s="15"/>
      <c r="E3" s="181" t="s">
        <v>78</v>
      </c>
      <c r="F3" s="325" t="s">
        <v>77</v>
      </c>
    </row>
    <row r="4" spans="1:6">
      <c r="A4" s="5" t="s">
        <v>14</v>
      </c>
      <c r="B4" s="5" t="s">
        <v>15</v>
      </c>
      <c r="C4" s="12" t="s">
        <v>26</v>
      </c>
      <c r="D4" s="9"/>
      <c r="E4" s="182" t="s">
        <v>26</v>
      </c>
      <c r="F4" s="326"/>
    </row>
    <row r="5" spans="1:6">
      <c r="A5" s="20" t="s">
        <v>16</v>
      </c>
      <c r="B5" s="6"/>
      <c r="C5" s="3" t="s">
        <v>49</v>
      </c>
      <c r="D5" s="10" t="s">
        <v>22</v>
      </c>
      <c r="E5" s="3" t="s">
        <v>49</v>
      </c>
      <c r="F5" s="180"/>
    </row>
    <row r="6" spans="1:6">
      <c r="A6" s="20"/>
      <c r="B6" s="6"/>
      <c r="C6" s="3" t="s">
        <v>49</v>
      </c>
      <c r="D6" s="10" t="s">
        <v>22</v>
      </c>
      <c r="E6" s="3" t="s">
        <v>49</v>
      </c>
      <c r="F6" s="180"/>
    </row>
    <row r="7" spans="1:6">
      <c r="A7" s="20"/>
      <c r="B7" s="6"/>
      <c r="C7" s="3" t="s">
        <v>49</v>
      </c>
      <c r="D7" s="10" t="s">
        <v>22</v>
      </c>
      <c r="E7" s="3" t="s">
        <v>49</v>
      </c>
      <c r="F7" s="180"/>
    </row>
    <row r="8" spans="1:6">
      <c r="A8" s="20"/>
      <c r="B8" s="6"/>
      <c r="C8" s="3" t="s">
        <v>49</v>
      </c>
      <c r="D8" s="10" t="s">
        <v>22</v>
      </c>
      <c r="E8" s="3" t="s">
        <v>49</v>
      </c>
      <c r="F8" s="180"/>
    </row>
    <row r="9" spans="1:6">
      <c r="A9" s="8"/>
      <c r="B9" s="6"/>
      <c r="C9" s="3" t="s">
        <v>49</v>
      </c>
      <c r="D9" s="10" t="s">
        <v>22</v>
      </c>
      <c r="E9" s="3" t="s">
        <v>49</v>
      </c>
      <c r="F9" s="180"/>
    </row>
    <row r="10" spans="1:6">
      <c r="A10" s="20" t="s">
        <v>17</v>
      </c>
      <c r="B10" s="6"/>
      <c r="C10" s="3" t="s">
        <v>49</v>
      </c>
      <c r="D10" s="10" t="s">
        <v>22</v>
      </c>
      <c r="E10" s="3" t="s">
        <v>49</v>
      </c>
      <c r="F10" s="180"/>
    </row>
    <row r="11" spans="1:6">
      <c r="A11" s="8"/>
      <c r="B11" s="6"/>
      <c r="C11" s="3" t="s">
        <v>49</v>
      </c>
      <c r="D11" s="10" t="s">
        <v>22</v>
      </c>
      <c r="E11" s="3" t="s">
        <v>49</v>
      </c>
      <c r="F11" s="180"/>
    </row>
    <row r="12" spans="1:6">
      <c r="A12" s="8"/>
      <c r="B12" s="6"/>
      <c r="C12" s="3" t="s">
        <v>49</v>
      </c>
      <c r="D12" s="10" t="s">
        <v>22</v>
      </c>
      <c r="E12" s="3" t="s">
        <v>49</v>
      </c>
      <c r="F12" s="180"/>
    </row>
    <row r="13" spans="1:6">
      <c r="A13" s="20"/>
      <c r="B13" s="6"/>
      <c r="C13" s="3"/>
      <c r="D13" s="10"/>
      <c r="E13" s="3"/>
    </row>
    <row r="14" spans="1:6">
      <c r="A14" s="8"/>
      <c r="B14" s="6"/>
      <c r="C14" s="3"/>
      <c r="D14" s="10"/>
      <c r="E14" s="3"/>
    </row>
    <row r="15" spans="1:6">
      <c r="A15" s="20"/>
      <c r="B15" s="6"/>
      <c r="C15" s="3"/>
      <c r="D15" s="10"/>
      <c r="E15" s="3"/>
    </row>
    <row r="16" spans="1:6">
      <c r="A16" s="8"/>
      <c r="B16" s="6"/>
      <c r="C16" s="3"/>
      <c r="D16" s="10"/>
      <c r="E16" s="3"/>
    </row>
    <row r="17" spans="1:5">
      <c r="A17" s="8"/>
      <c r="B17" s="6"/>
      <c r="C17" s="3"/>
      <c r="D17" s="10"/>
      <c r="E17" s="3"/>
    </row>
    <row r="18" spans="1:5">
      <c r="A18" s="8"/>
      <c r="B18" s="6"/>
      <c r="C18" s="3"/>
      <c r="D18" s="10"/>
      <c r="E18" s="3"/>
    </row>
    <row r="19" spans="1:5">
      <c r="A19" s="8"/>
      <c r="B19" s="6"/>
      <c r="C19" s="3"/>
      <c r="D19" s="10"/>
      <c r="E19" s="3"/>
    </row>
    <row r="20" spans="1:5">
      <c r="A20" s="20" t="s">
        <v>22</v>
      </c>
      <c r="B20" s="6"/>
      <c r="C20" s="3"/>
      <c r="D20" s="10"/>
      <c r="E20" s="3"/>
    </row>
    <row r="21" spans="1:5">
      <c r="A21" s="8"/>
    </row>
    <row r="22" spans="1:5">
      <c r="A22" s="8"/>
    </row>
    <row r="23" spans="1:5">
      <c r="A23" s="8"/>
    </row>
    <row r="24" spans="1:5">
      <c r="A24" s="8"/>
    </row>
    <row r="25" spans="1:5">
      <c r="A25" s="8"/>
    </row>
    <row r="26" spans="1:5">
      <c r="A26" s="8"/>
    </row>
    <row r="27" spans="1:5">
      <c r="A27" s="8"/>
    </row>
    <row r="28" spans="1:5">
      <c r="A28" s="8"/>
    </row>
    <row r="29" spans="1:5">
      <c r="A29" s="8"/>
    </row>
    <row r="30" spans="1:5">
      <c r="A30" s="8"/>
    </row>
    <row r="31" spans="1:5">
      <c r="A31" s="8"/>
    </row>
    <row r="32" spans="1:5">
      <c r="A32" s="8"/>
    </row>
    <row r="33" spans="1:1">
      <c r="A33" s="8"/>
    </row>
    <row r="34" spans="1:1">
      <c r="A34" s="8"/>
    </row>
    <row r="35" spans="1:1">
      <c r="A35" s="8"/>
    </row>
    <row r="36" spans="1:1">
      <c r="A36" s="8"/>
    </row>
    <row r="37" spans="1:1">
      <c r="A37" s="8"/>
    </row>
    <row r="38" spans="1:1">
      <c r="A38" s="8"/>
    </row>
    <row r="39" spans="1:1">
      <c r="A39" s="8"/>
    </row>
  </sheetData>
  <mergeCells count="3">
    <mergeCell ref="A1:F1"/>
    <mergeCell ref="A2:F2"/>
    <mergeCell ref="F3:F4"/>
  </mergeCells>
  <phoneticPr fontId="1" type="noConversion"/>
  <printOptions horizontalCentered="1" gridLines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>
      <selection activeCell="E46" sqref="E46"/>
    </sheetView>
  </sheetViews>
  <sheetFormatPr defaultRowHeight="12"/>
  <cols>
    <col min="1" max="16384" width="9.140625" style="315"/>
  </cols>
  <sheetData/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5"/>
  <dimension ref="A1:Y34"/>
  <sheetViews>
    <sheetView zoomScaleNormal="100" workbookViewId="0">
      <pane ySplit="1" topLeftCell="A2" activePane="bottomLeft" state="frozen"/>
      <selection activeCell="E46" sqref="E46"/>
      <selection pane="bottomLeft" activeCell="E46" sqref="E46"/>
    </sheetView>
  </sheetViews>
  <sheetFormatPr defaultColWidth="8.85546875" defaultRowHeight="11.25"/>
  <cols>
    <col min="1" max="1" width="8.5703125" style="293" bestFit="1" customWidth="1"/>
    <col min="2" max="2" width="7.7109375" style="293" bestFit="1" customWidth="1"/>
    <col min="3" max="3" width="10.5703125" style="260" bestFit="1" customWidth="1"/>
    <col min="4" max="4" width="8.85546875" style="255"/>
    <col min="5" max="5" width="3.28515625" style="295" hidden="1" customWidth="1"/>
    <col min="6" max="6" width="4.7109375" style="295" hidden="1" customWidth="1"/>
    <col min="7" max="7" width="8.42578125" style="312" hidden="1" customWidth="1"/>
    <col min="8" max="8" width="8.85546875" style="258"/>
    <col min="9" max="9" width="3.140625" style="258" bestFit="1" customWidth="1"/>
    <col min="10" max="11" width="5.5703125" style="258" bestFit="1" customWidth="1"/>
    <col min="12" max="13" width="5" style="258" bestFit="1" customWidth="1"/>
    <col min="14" max="14" width="4" style="258" bestFit="1" customWidth="1"/>
    <col min="15" max="16" width="5" style="258" bestFit="1" customWidth="1"/>
    <col min="17" max="17" width="3.140625" style="258" bestFit="1" customWidth="1"/>
    <col min="18" max="19" width="5.5703125" style="258" bestFit="1" customWidth="1"/>
    <col min="20" max="21" width="5" style="258" bestFit="1" customWidth="1"/>
    <col min="22" max="24" width="4" style="258" bestFit="1" customWidth="1"/>
    <col min="25" max="25" width="8.85546875" style="258"/>
    <col min="26" max="16384" width="8.85546875" style="255"/>
  </cols>
  <sheetData>
    <row r="1" spans="1:24" ht="12" customHeight="1">
      <c r="A1" s="252" t="s">
        <v>39</v>
      </c>
      <c r="B1" s="253" t="s">
        <v>40</v>
      </c>
      <c r="C1" s="254" t="s">
        <v>41</v>
      </c>
      <c r="E1" s="256" t="s">
        <v>10</v>
      </c>
      <c r="F1" s="257" t="s">
        <v>11</v>
      </c>
      <c r="G1" s="257" t="s">
        <v>25</v>
      </c>
      <c r="I1" s="331" t="s">
        <v>55</v>
      </c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3"/>
    </row>
    <row r="2" spans="1:24">
      <c r="A2" s="259">
        <v>1</v>
      </c>
      <c r="B2" s="260">
        <f t="shared" ref="B2:B3" ca="1" si="0">RAND()/222</f>
        <v>3.8215499434598606E-3</v>
      </c>
      <c r="C2" s="260">
        <v>3.2976359153006514E-3</v>
      </c>
      <c r="E2" s="261">
        <v>1</v>
      </c>
      <c r="F2" s="262">
        <v>1</v>
      </c>
      <c r="G2" s="263"/>
      <c r="I2" s="264"/>
      <c r="J2" s="265"/>
      <c r="K2" s="266" t="s">
        <v>56</v>
      </c>
      <c r="L2" s="266" t="s">
        <v>57</v>
      </c>
      <c r="M2" s="267" t="s">
        <v>13</v>
      </c>
      <c r="N2" s="266" t="s">
        <v>12</v>
      </c>
      <c r="O2" s="268" t="s">
        <v>58</v>
      </c>
      <c r="P2" s="269" t="s">
        <v>59</v>
      </c>
      <c r="Q2" s="334"/>
      <c r="R2" s="335"/>
      <c r="S2" s="270" t="s">
        <v>56</v>
      </c>
      <c r="T2" s="270" t="s">
        <v>57</v>
      </c>
      <c r="U2" s="270" t="s">
        <v>13</v>
      </c>
      <c r="V2" s="270" t="s">
        <v>12</v>
      </c>
      <c r="W2" s="271" t="s">
        <v>58</v>
      </c>
      <c r="X2" s="272" t="s">
        <v>59</v>
      </c>
    </row>
    <row r="3" spans="1:24">
      <c r="A3" s="259">
        <v>2</v>
      </c>
      <c r="B3" s="260">
        <f t="shared" ca="1" si="0"/>
        <v>1.0395370041197834E-3</v>
      </c>
      <c r="C3" s="260">
        <v>4.3188630816898546E-3</v>
      </c>
      <c r="E3" s="273">
        <v>2</v>
      </c>
      <c r="F3" s="274"/>
      <c r="G3" s="275">
        <v>1</v>
      </c>
      <c r="I3" s="336" t="s">
        <v>60</v>
      </c>
      <c r="J3" s="276" t="s">
        <v>61</v>
      </c>
      <c r="K3" s="277">
        <v>1.5</v>
      </c>
      <c r="L3" s="277">
        <v>2</v>
      </c>
      <c r="M3" s="278">
        <v>2</v>
      </c>
      <c r="N3" s="278">
        <v>0</v>
      </c>
      <c r="O3" s="277">
        <v>0</v>
      </c>
      <c r="P3" s="278">
        <v>0</v>
      </c>
      <c r="Q3" s="336" t="s">
        <v>60</v>
      </c>
      <c r="R3" s="276" t="s">
        <v>61</v>
      </c>
      <c r="S3" s="277">
        <v>1.5</v>
      </c>
      <c r="T3" s="277">
        <v>0.5</v>
      </c>
      <c r="U3" s="277">
        <v>0</v>
      </c>
      <c r="V3" s="277">
        <v>0</v>
      </c>
      <c r="W3" s="277">
        <v>0</v>
      </c>
      <c r="X3" s="278">
        <v>0</v>
      </c>
    </row>
    <row r="4" spans="1:24">
      <c r="A4" s="259">
        <v>3</v>
      </c>
      <c r="B4" s="260">
        <f ca="1">RAND()/222</f>
        <v>5.1213761666467036E-4</v>
      </c>
      <c r="C4" s="260">
        <v>3.0572373532736811E-3</v>
      </c>
      <c r="E4" s="279">
        <v>3</v>
      </c>
      <c r="F4" s="280"/>
      <c r="G4" s="275"/>
      <c r="I4" s="337"/>
      <c r="J4" s="276" t="s">
        <v>62</v>
      </c>
      <c r="K4" s="281">
        <v>3</v>
      </c>
      <c r="L4" s="281">
        <v>4</v>
      </c>
      <c r="M4" s="282">
        <v>4</v>
      </c>
      <c r="N4" s="282">
        <v>0</v>
      </c>
      <c r="O4" s="281">
        <v>0</v>
      </c>
      <c r="P4" s="282">
        <v>0</v>
      </c>
      <c r="Q4" s="337"/>
      <c r="R4" s="276" t="s">
        <v>62</v>
      </c>
      <c r="S4" s="281">
        <v>3</v>
      </c>
      <c r="T4" s="281">
        <v>1</v>
      </c>
      <c r="U4" s="281">
        <v>0</v>
      </c>
      <c r="V4" s="281">
        <v>0</v>
      </c>
      <c r="W4" s="281">
        <v>0</v>
      </c>
      <c r="X4" s="282">
        <v>0</v>
      </c>
    </row>
    <row r="5" spans="1:24">
      <c r="A5" s="259">
        <v>4</v>
      </c>
      <c r="B5" s="260">
        <f ca="1">RAND()/222</f>
        <v>1.687255660939792E-3</v>
      </c>
      <c r="C5" s="260">
        <v>6.456269815163549E-4</v>
      </c>
      <c r="E5" s="273">
        <v>4</v>
      </c>
      <c r="F5" s="274"/>
      <c r="G5" s="275">
        <v>15</v>
      </c>
      <c r="I5" s="337"/>
      <c r="J5" s="276" t="s">
        <v>63</v>
      </c>
      <c r="K5" s="281">
        <v>6</v>
      </c>
      <c r="L5" s="281">
        <v>8</v>
      </c>
      <c r="M5" s="282">
        <v>8</v>
      </c>
      <c r="N5" s="282">
        <v>0</v>
      </c>
      <c r="O5" s="281">
        <v>0</v>
      </c>
      <c r="P5" s="282">
        <v>0</v>
      </c>
      <c r="Q5" s="337"/>
      <c r="R5" s="276" t="s">
        <v>63</v>
      </c>
      <c r="S5" s="281">
        <v>6</v>
      </c>
      <c r="T5" s="281">
        <v>2</v>
      </c>
      <c r="U5" s="281">
        <v>0</v>
      </c>
      <c r="V5" s="281">
        <v>0</v>
      </c>
      <c r="W5" s="281">
        <v>0</v>
      </c>
      <c r="X5" s="282">
        <v>0</v>
      </c>
    </row>
    <row r="6" spans="1:24">
      <c r="A6" s="259">
        <v>5</v>
      </c>
      <c r="B6" s="260">
        <f ca="1">RAND()/222</f>
        <v>3.1963504957411557E-3</v>
      </c>
      <c r="C6" s="260">
        <v>3.4997935539849393E-3</v>
      </c>
      <c r="E6" s="279">
        <v>5</v>
      </c>
      <c r="F6" s="280"/>
      <c r="G6" s="275"/>
      <c r="I6" s="338"/>
      <c r="J6" s="276" t="s">
        <v>64</v>
      </c>
      <c r="K6" s="283">
        <v>7.5</v>
      </c>
      <c r="L6" s="283">
        <v>10</v>
      </c>
      <c r="M6" s="284">
        <v>10</v>
      </c>
      <c r="N6" s="284">
        <v>0</v>
      </c>
      <c r="O6" s="283">
        <v>0</v>
      </c>
      <c r="P6" s="284">
        <v>0</v>
      </c>
      <c r="Q6" s="338"/>
      <c r="R6" s="276" t="s">
        <v>64</v>
      </c>
      <c r="S6" s="283">
        <v>7.5</v>
      </c>
      <c r="T6" s="283">
        <v>2.5</v>
      </c>
      <c r="U6" s="283">
        <v>0</v>
      </c>
      <c r="V6" s="283">
        <v>0</v>
      </c>
      <c r="W6" s="283">
        <v>0</v>
      </c>
      <c r="X6" s="284">
        <v>0</v>
      </c>
    </row>
    <row r="7" spans="1:24">
      <c r="A7" s="259">
        <v>6</v>
      </c>
      <c r="B7" s="260">
        <f ca="1">RAND()/222</f>
        <v>1.4665384904332304E-3</v>
      </c>
      <c r="C7" s="260">
        <v>4.462381909695002E-4</v>
      </c>
      <c r="E7" s="273">
        <v>6</v>
      </c>
      <c r="F7" s="274"/>
      <c r="G7" s="275">
        <v>9</v>
      </c>
      <c r="I7" s="338" t="s">
        <v>65</v>
      </c>
      <c r="J7" s="285" t="s">
        <v>66</v>
      </c>
      <c r="K7" s="281">
        <v>0.5</v>
      </c>
      <c r="L7" s="281">
        <v>1</v>
      </c>
      <c r="M7" s="282">
        <v>1</v>
      </c>
      <c r="N7" s="282">
        <v>0</v>
      </c>
      <c r="O7" s="281">
        <v>0</v>
      </c>
      <c r="P7" s="282">
        <v>0</v>
      </c>
      <c r="Q7" s="339" t="s">
        <v>65</v>
      </c>
      <c r="R7" s="276" t="s">
        <v>66</v>
      </c>
      <c r="S7" s="286">
        <v>0.5</v>
      </c>
      <c r="T7" s="286">
        <v>0.5</v>
      </c>
      <c r="U7" s="286">
        <v>0</v>
      </c>
      <c r="V7" s="286">
        <v>0</v>
      </c>
      <c r="W7" s="286">
        <v>0</v>
      </c>
      <c r="X7" s="287">
        <v>0</v>
      </c>
    </row>
    <row r="8" spans="1:24">
      <c r="A8" s="259">
        <v>7</v>
      </c>
      <c r="B8" s="260">
        <f t="shared" ref="B8:B33" ca="1" si="1">RAND()/222</f>
        <v>2.2336816635562273E-3</v>
      </c>
      <c r="C8" s="260">
        <v>1.9730013967936952E-4</v>
      </c>
      <c r="E8" s="279">
        <v>7</v>
      </c>
      <c r="F8" s="280"/>
      <c r="G8" s="275">
        <v>5</v>
      </c>
      <c r="I8" s="339"/>
      <c r="J8" s="276" t="s">
        <v>67</v>
      </c>
      <c r="K8" s="281">
        <v>1</v>
      </c>
      <c r="L8" s="281">
        <v>2</v>
      </c>
      <c r="M8" s="282">
        <v>2</v>
      </c>
      <c r="N8" s="282">
        <v>0</v>
      </c>
      <c r="O8" s="281">
        <v>0</v>
      </c>
      <c r="P8" s="282">
        <v>0</v>
      </c>
      <c r="Q8" s="339"/>
      <c r="R8" s="276" t="s">
        <v>67</v>
      </c>
      <c r="S8" s="288">
        <v>1</v>
      </c>
      <c r="T8" s="288">
        <v>1</v>
      </c>
      <c r="U8" s="288">
        <v>0</v>
      </c>
      <c r="V8" s="288">
        <v>0</v>
      </c>
      <c r="W8" s="288">
        <v>0</v>
      </c>
      <c r="X8" s="289">
        <v>0</v>
      </c>
    </row>
    <row r="9" spans="1:24">
      <c r="A9" s="259">
        <v>8</v>
      </c>
      <c r="B9" s="260">
        <f t="shared" ca="1" si="1"/>
        <v>1.7407011163607529E-3</v>
      </c>
      <c r="C9" s="260">
        <v>3.5479484285413899E-3</v>
      </c>
      <c r="E9" s="273">
        <v>8</v>
      </c>
      <c r="F9" s="274">
        <v>5</v>
      </c>
      <c r="G9" s="275"/>
      <c r="I9" s="339"/>
      <c r="J9" s="276" t="s">
        <v>68</v>
      </c>
      <c r="K9" s="283">
        <v>2</v>
      </c>
      <c r="L9" s="283">
        <v>4</v>
      </c>
      <c r="M9" s="284">
        <v>4</v>
      </c>
      <c r="N9" s="284">
        <v>0</v>
      </c>
      <c r="O9" s="283">
        <v>0</v>
      </c>
      <c r="P9" s="284">
        <v>0</v>
      </c>
      <c r="Q9" s="339"/>
      <c r="R9" s="276" t="s">
        <v>68</v>
      </c>
      <c r="S9" s="290">
        <v>2</v>
      </c>
      <c r="T9" s="290">
        <v>2</v>
      </c>
      <c r="U9" s="290">
        <v>0</v>
      </c>
      <c r="V9" s="290">
        <v>0</v>
      </c>
      <c r="W9" s="290">
        <v>0</v>
      </c>
      <c r="X9" s="291">
        <v>0</v>
      </c>
    </row>
    <row r="10" spans="1:24">
      <c r="A10" s="259">
        <v>9</v>
      </c>
      <c r="B10" s="260">
        <f t="shared" ca="1" si="1"/>
        <v>3.7003779409164154E-4</v>
      </c>
      <c r="C10" s="260">
        <v>4.48635527761261E-3</v>
      </c>
      <c r="E10" s="292">
        <v>9</v>
      </c>
      <c r="F10" s="280">
        <v>3</v>
      </c>
      <c r="G10" s="275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</row>
    <row r="11" spans="1:24">
      <c r="A11" s="259">
        <v>10</v>
      </c>
      <c r="B11" s="260">
        <f t="shared" ca="1" si="1"/>
        <v>2.4157393650406922E-3</v>
      </c>
      <c r="C11" s="260">
        <v>2.7159015529233628E-4</v>
      </c>
      <c r="E11" s="294">
        <v>10</v>
      </c>
      <c r="F11" s="274"/>
      <c r="G11" s="275">
        <v>3</v>
      </c>
      <c r="I11" s="295"/>
      <c r="J11" s="295"/>
      <c r="K11" s="295"/>
      <c r="L11" s="295"/>
      <c r="M11" s="295"/>
      <c r="N11" s="295"/>
      <c r="O11" s="295"/>
      <c r="P11" s="295"/>
      <c r="Q11" s="295"/>
      <c r="R11" s="295"/>
      <c r="S11" s="295"/>
      <c r="T11" s="295"/>
      <c r="U11" s="295"/>
      <c r="V11" s="295"/>
      <c r="W11" s="295"/>
      <c r="X11" s="295"/>
    </row>
    <row r="12" spans="1:24">
      <c r="A12" s="259">
        <v>11</v>
      </c>
      <c r="B12" s="260">
        <f t="shared" ca="1" si="1"/>
        <v>2.0125314118261519E-3</v>
      </c>
      <c r="C12" s="260">
        <v>3.8928194166841434E-3</v>
      </c>
      <c r="E12" s="296">
        <v>11</v>
      </c>
      <c r="F12" s="262"/>
      <c r="G12" s="275"/>
      <c r="I12" s="331" t="s">
        <v>69</v>
      </c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2"/>
      <c r="X12" s="333"/>
    </row>
    <row r="13" spans="1:24">
      <c r="A13" s="259">
        <v>12</v>
      </c>
      <c r="B13" s="260">
        <f t="shared" ca="1" si="1"/>
        <v>3.497604788906465E-3</v>
      </c>
      <c r="C13" s="260">
        <v>2.9966673069137004E-3</v>
      </c>
      <c r="E13" s="296">
        <v>12</v>
      </c>
      <c r="F13" s="262"/>
      <c r="G13" s="275">
        <v>13</v>
      </c>
      <c r="I13" s="297"/>
      <c r="J13" s="282"/>
      <c r="K13" s="298" t="s">
        <v>56</v>
      </c>
      <c r="L13" s="298" t="s">
        <v>57</v>
      </c>
      <c r="M13" s="298" t="s">
        <v>13</v>
      </c>
      <c r="N13" s="298" t="s">
        <v>12</v>
      </c>
      <c r="O13" s="299" t="s">
        <v>58</v>
      </c>
      <c r="P13" s="300" t="s">
        <v>59</v>
      </c>
      <c r="Q13" s="340"/>
      <c r="R13" s="341"/>
      <c r="S13" s="298" t="s">
        <v>56</v>
      </c>
      <c r="T13" s="298" t="s">
        <v>57</v>
      </c>
      <c r="U13" s="298" t="s">
        <v>13</v>
      </c>
      <c r="V13" s="298" t="s">
        <v>12</v>
      </c>
      <c r="W13" s="299" t="s">
        <v>58</v>
      </c>
      <c r="X13" s="300" t="s">
        <v>59</v>
      </c>
    </row>
    <row r="14" spans="1:24">
      <c r="A14" s="259">
        <v>13</v>
      </c>
      <c r="B14" s="260">
        <f t="shared" ca="1" si="1"/>
        <v>4.4511729496405326E-3</v>
      </c>
      <c r="C14" s="260">
        <v>4.1603565212078282E-3</v>
      </c>
      <c r="E14" s="292">
        <v>13</v>
      </c>
      <c r="F14" s="280"/>
      <c r="G14" s="275"/>
      <c r="I14" s="336" t="s">
        <v>60</v>
      </c>
      <c r="J14" s="276" t="s">
        <v>61</v>
      </c>
      <c r="K14" s="277">
        <v>5</v>
      </c>
      <c r="L14" s="277">
        <v>7.5</v>
      </c>
      <c r="M14" s="277">
        <v>10</v>
      </c>
      <c r="N14" s="277">
        <v>15</v>
      </c>
      <c r="O14" s="277">
        <v>25</v>
      </c>
      <c r="P14" s="278">
        <v>30</v>
      </c>
      <c r="Q14" s="336" t="s">
        <v>60</v>
      </c>
      <c r="R14" s="276" t="s">
        <v>61</v>
      </c>
      <c r="S14" s="277">
        <v>5</v>
      </c>
      <c r="T14" s="277">
        <v>2.5</v>
      </c>
      <c r="U14" s="277">
        <v>2.5</v>
      </c>
      <c r="V14" s="277">
        <v>5</v>
      </c>
      <c r="W14" s="277">
        <v>10</v>
      </c>
      <c r="X14" s="278">
        <v>5</v>
      </c>
    </row>
    <row r="15" spans="1:24">
      <c r="A15" s="259">
        <v>14</v>
      </c>
      <c r="B15" s="260">
        <f t="shared" ca="1" si="1"/>
        <v>2.9976755703582099E-3</v>
      </c>
      <c r="C15" s="260">
        <v>1.0868675120133311E-3</v>
      </c>
      <c r="E15" s="294">
        <v>14</v>
      </c>
      <c r="F15" s="274"/>
      <c r="G15" s="275">
        <v>11</v>
      </c>
      <c r="I15" s="337"/>
      <c r="J15" s="276" t="s">
        <v>62</v>
      </c>
      <c r="K15" s="281">
        <v>10</v>
      </c>
      <c r="L15" s="281">
        <v>15</v>
      </c>
      <c r="M15" s="281">
        <v>20</v>
      </c>
      <c r="N15" s="281">
        <v>30</v>
      </c>
      <c r="O15" s="281">
        <v>50</v>
      </c>
      <c r="P15" s="282">
        <v>60</v>
      </c>
      <c r="Q15" s="337"/>
      <c r="R15" s="276" t="s">
        <v>62</v>
      </c>
      <c r="S15" s="281">
        <v>10</v>
      </c>
      <c r="T15" s="281">
        <v>5</v>
      </c>
      <c r="U15" s="281">
        <v>5</v>
      </c>
      <c r="V15" s="281">
        <v>10</v>
      </c>
      <c r="W15" s="281">
        <v>20</v>
      </c>
      <c r="X15" s="282">
        <v>10</v>
      </c>
    </row>
    <row r="16" spans="1:24">
      <c r="A16" s="259">
        <v>15</v>
      </c>
      <c r="B16" s="260">
        <f t="shared" ca="1" si="1"/>
        <v>3.198442128874858E-3</v>
      </c>
      <c r="C16" s="260">
        <v>2.4668064860831185E-4</v>
      </c>
      <c r="E16" s="292">
        <v>15</v>
      </c>
      <c r="F16" s="280"/>
      <c r="G16" s="275">
        <v>7</v>
      </c>
      <c r="I16" s="337"/>
      <c r="J16" s="276" t="s">
        <v>63</v>
      </c>
      <c r="K16" s="281">
        <v>20</v>
      </c>
      <c r="L16" s="281">
        <v>30</v>
      </c>
      <c r="M16" s="281">
        <v>40</v>
      </c>
      <c r="N16" s="281">
        <v>60</v>
      </c>
      <c r="O16" s="281">
        <v>100</v>
      </c>
      <c r="P16" s="282">
        <v>120</v>
      </c>
      <c r="Q16" s="337"/>
      <c r="R16" s="276" t="s">
        <v>63</v>
      </c>
      <c r="S16" s="281">
        <v>20</v>
      </c>
      <c r="T16" s="281">
        <v>10</v>
      </c>
      <c r="U16" s="281">
        <v>10</v>
      </c>
      <c r="V16" s="281">
        <v>20</v>
      </c>
      <c r="W16" s="281">
        <v>40</v>
      </c>
      <c r="X16" s="282">
        <v>20</v>
      </c>
    </row>
    <row r="17" spans="1:24">
      <c r="A17" s="259">
        <v>16</v>
      </c>
      <c r="B17" s="260">
        <f t="shared" ca="1" si="1"/>
        <v>2.4278731153048695E-3</v>
      </c>
      <c r="C17" s="260">
        <v>1.0148569775873279E-3</v>
      </c>
      <c r="E17" s="294">
        <v>16</v>
      </c>
      <c r="F17" s="274">
        <v>6</v>
      </c>
      <c r="G17" s="275"/>
      <c r="I17" s="338"/>
      <c r="J17" s="276" t="s">
        <v>64</v>
      </c>
      <c r="K17" s="283">
        <v>25</v>
      </c>
      <c r="L17" s="283">
        <v>37.5</v>
      </c>
      <c r="M17" s="283">
        <v>50</v>
      </c>
      <c r="N17" s="283">
        <v>75</v>
      </c>
      <c r="O17" s="283">
        <v>125</v>
      </c>
      <c r="P17" s="284">
        <v>150</v>
      </c>
      <c r="Q17" s="338"/>
      <c r="R17" s="276" t="s">
        <v>64</v>
      </c>
      <c r="S17" s="283">
        <v>25</v>
      </c>
      <c r="T17" s="283">
        <v>12.5</v>
      </c>
      <c r="U17" s="283">
        <v>12.5</v>
      </c>
      <c r="V17" s="283">
        <v>25</v>
      </c>
      <c r="W17" s="283">
        <v>50</v>
      </c>
      <c r="X17" s="284">
        <v>25</v>
      </c>
    </row>
    <row r="18" spans="1:24">
      <c r="A18" s="259">
        <v>17</v>
      </c>
      <c r="B18" s="260">
        <f t="shared" ca="1" si="1"/>
        <v>2.4691679772269012E-4</v>
      </c>
      <c r="C18" s="260">
        <v>2.7010806092598698E-3</v>
      </c>
      <c r="E18" s="279">
        <v>17</v>
      </c>
      <c r="F18" s="280">
        <v>7</v>
      </c>
      <c r="G18" s="275"/>
      <c r="I18" s="339" t="s">
        <v>65</v>
      </c>
      <c r="J18" s="276" t="s">
        <v>66</v>
      </c>
      <c r="K18" s="277">
        <v>2.5</v>
      </c>
      <c r="L18" s="277">
        <v>4</v>
      </c>
      <c r="M18" s="277">
        <v>5</v>
      </c>
      <c r="N18" s="277">
        <v>7.5</v>
      </c>
      <c r="O18" s="277">
        <v>12.5</v>
      </c>
      <c r="P18" s="278">
        <v>15</v>
      </c>
      <c r="Q18" s="339" t="s">
        <v>65</v>
      </c>
      <c r="R18" s="276" t="s">
        <v>66</v>
      </c>
      <c r="S18" s="286">
        <v>2.5</v>
      </c>
      <c r="T18" s="286">
        <v>1.5</v>
      </c>
      <c r="U18" s="286">
        <v>1</v>
      </c>
      <c r="V18" s="286">
        <v>2.5</v>
      </c>
      <c r="W18" s="286">
        <v>5</v>
      </c>
      <c r="X18" s="287">
        <v>2.5</v>
      </c>
    </row>
    <row r="19" spans="1:24">
      <c r="A19" s="259">
        <v>18</v>
      </c>
      <c r="B19" s="260">
        <f t="shared" ca="1" si="1"/>
        <v>1.9358027602840043E-3</v>
      </c>
      <c r="C19" s="260">
        <v>3.222326103579835E-3</v>
      </c>
      <c r="E19" s="273">
        <v>18</v>
      </c>
      <c r="F19" s="274"/>
      <c r="G19" s="275">
        <v>6</v>
      </c>
      <c r="I19" s="339"/>
      <c r="J19" s="276" t="s">
        <v>67</v>
      </c>
      <c r="K19" s="281">
        <v>5</v>
      </c>
      <c r="L19" s="281">
        <v>8</v>
      </c>
      <c r="M19" s="281">
        <v>10</v>
      </c>
      <c r="N19" s="281">
        <v>15</v>
      </c>
      <c r="O19" s="281">
        <v>25</v>
      </c>
      <c r="P19" s="282">
        <v>30</v>
      </c>
      <c r="Q19" s="339"/>
      <c r="R19" s="276" t="s">
        <v>67</v>
      </c>
      <c r="S19" s="288">
        <v>5</v>
      </c>
      <c r="T19" s="288">
        <v>3</v>
      </c>
      <c r="U19" s="288">
        <v>2</v>
      </c>
      <c r="V19" s="288">
        <v>5</v>
      </c>
      <c r="W19" s="288">
        <v>10</v>
      </c>
      <c r="X19" s="289">
        <v>5</v>
      </c>
    </row>
    <row r="20" spans="1:24">
      <c r="A20" s="259">
        <v>19</v>
      </c>
      <c r="B20" s="260">
        <f t="shared" ca="1" si="1"/>
        <v>3.3039358807861771E-3</v>
      </c>
      <c r="C20" s="260">
        <v>3.6468255507583576E-3</v>
      </c>
      <c r="E20" s="279">
        <v>19</v>
      </c>
      <c r="F20" s="280"/>
      <c r="G20" s="275"/>
      <c r="I20" s="339"/>
      <c r="J20" s="276" t="s">
        <v>68</v>
      </c>
      <c r="K20" s="283">
        <v>10</v>
      </c>
      <c r="L20" s="283">
        <v>16</v>
      </c>
      <c r="M20" s="283">
        <v>20</v>
      </c>
      <c r="N20" s="283">
        <v>30</v>
      </c>
      <c r="O20" s="283">
        <v>50</v>
      </c>
      <c r="P20" s="284">
        <v>60</v>
      </c>
      <c r="Q20" s="339"/>
      <c r="R20" s="276" t="s">
        <v>68</v>
      </c>
      <c r="S20" s="290">
        <v>10</v>
      </c>
      <c r="T20" s="290">
        <v>6</v>
      </c>
      <c r="U20" s="290">
        <v>4</v>
      </c>
      <c r="V20" s="290">
        <v>10</v>
      </c>
      <c r="W20" s="290">
        <v>20</v>
      </c>
      <c r="X20" s="291">
        <v>10</v>
      </c>
    </row>
    <row r="21" spans="1:24">
      <c r="A21" s="259">
        <v>20</v>
      </c>
      <c r="B21" s="260">
        <f t="shared" ca="1" si="1"/>
        <v>8.6795045487840093E-4</v>
      </c>
      <c r="C21" s="260">
        <v>1.7427030597433116E-3</v>
      </c>
      <c r="E21" s="273">
        <v>20</v>
      </c>
      <c r="F21" s="274"/>
      <c r="G21" s="275">
        <v>12</v>
      </c>
      <c r="I21" s="338" t="s">
        <v>70</v>
      </c>
      <c r="J21" s="285" t="s">
        <v>71</v>
      </c>
      <c r="K21" s="281">
        <v>1</v>
      </c>
      <c r="L21" s="281">
        <v>1.5</v>
      </c>
      <c r="M21" s="281">
        <v>2</v>
      </c>
      <c r="N21" s="281">
        <v>3</v>
      </c>
      <c r="O21" s="281">
        <v>5</v>
      </c>
      <c r="P21" s="282">
        <v>6</v>
      </c>
      <c r="Q21" s="338" t="s">
        <v>70</v>
      </c>
      <c r="R21" s="285" t="s">
        <v>71</v>
      </c>
      <c r="S21" s="281">
        <v>1</v>
      </c>
      <c r="T21" s="281">
        <v>0.5</v>
      </c>
      <c r="U21" s="281">
        <v>0.5</v>
      </c>
      <c r="V21" s="281">
        <v>1</v>
      </c>
      <c r="W21" s="281">
        <v>2</v>
      </c>
      <c r="X21" s="282">
        <v>1</v>
      </c>
    </row>
    <row r="22" spans="1:24">
      <c r="A22" s="259">
        <v>21</v>
      </c>
      <c r="B22" s="260">
        <f t="shared" ca="1" si="1"/>
        <v>4.2827254198370699E-3</v>
      </c>
      <c r="C22" s="260">
        <v>8.1944937180329299E-5</v>
      </c>
      <c r="E22" s="261">
        <v>21</v>
      </c>
      <c r="F22" s="262"/>
      <c r="G22" s="275"/>
      <c r="I22" s="339"/>
      <c r="J22" s="276" t="s">
        <v>72</v>
      </c>
      <c r="K22" s="281">
        <v>2</v>
      </c>
      <c r="L22" s="281">
        <v>3</v>
      </c>
      <c r="M22" s="281">
        <v>4</v>
      </c>
      <c r="N22" s="281">
        <v>6</v>
      </c>
      <c r="O22" s="281">
        <v>10</v>
      </c>
      <c r="P22" s="282">
        <v>12</v>
      </c>
      <c r="Q22" s="339"/>
      <c r="R22" s="276" t="s">
        <v>72</v>
      </c>
      <c r="S22" s="281">
        <v>2</v>
      </c>
      <c r="T22" s="281">
        <v>1</v>
      </c>
      <c r="U22" s="281">
        <v>1</v>
      </c>
      <c r="V22" s="281">
        <v>2</v>
      </c>
      <c r="W22" s="281">
        <v>4</v>
      </c>
      <c r="X22" s="282">
        <v>2</v>
      </c>
    </row>
    <row r="23" spans="1:24">
      <c r="A23" s="259">
        <v>22</v>
      </c>
      <c r="B23" s="260">
        <f t="shared" ca="1" si="1"/>
        <v>2.9707270037253137E-3</v>
      </c>
      <c r="C23" s="260">
        <v>3.099064625698872E-3</v>
      </c>
      <c r="E23" s="261">
        <v>22</v>
      </c>
      <c r="F23" s="262"/>
      <c r="G23" s="275">
        <v>14</v>
      </c>
      <c r="I23" s="339"/>
      <c r="J23" s="276" t="s">
        <v>73</v>
      </c>
      <c r="K23" s="283">
        <v>4</v>
      </c>
      <c r="L23" s="283">
        <v>6</v>
      </c>
      <c r="M23" s="283">
        <v>8</v>
      </c>
      <c r="N23" s="283">
        <v>12</v>
      </c>
      <c r="O23" s="283">
        <v>20</v>
      </c>
      <c r="P23" s="284">
        <v>24</v>
      </c>
      <c r="Q23" s="339"/>
      <c r="R23" s="276" t="s">
        <v>73</v>
      </c>
      <c r="S23" s="283">
        <v>4</v>
      </c>
      <c r="T23" s="283">
        <v>2</v>
      </c>
      <c r="U23" s="283">
        <v>2</v>
      </c>
      <c r="V23" s="283">
        <v>4</v>
      </c>
      <c r="W23" s="283">
        <v>8</v>
      </c>
      <c r="X23" s="284">
        <v>4</v>
      </c>
    </row>
    <row r="24" spans="1:24">
      <c r="A24" s="259">
        <v>23</v>
      </c>
      <c r="B24" s="260">
        <f t="shared" ca="1" si="1"/>
        <v>1.0059005465340362E-3</v>
      </c>
      <c r="C24" s="260">
        <v>4.0701251038367959E-3</v>
      </c>
      <c r="E24" s="279">
        <v>23</v>
      </c>
      <c r="F24" s="280"/>
      <c r="G24" s="275">
        <v>4</v>
      </c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</row>
    <row r="25" spans="1:24">
      <c r="A25" s="259">
        <v>24</v>
      </c>
      <c r="B25" s="260">
        <f t="shared" ca="1" si="1"/>
        <v>7.9874210274105228E-4</v>
      </c>
      <c r="C25" s="260">
        <v>1.8174101985403992E-3</v>
      </c>
      <c r="E25" s="273">
        <v>24</v>
      </c>
      <c r="F25" s="274">
        <v>4</v>
      </c>
      <c r="G25" s="275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</row>
    <row r="26" spans="1:24" ht="12" customHeight="1">
      <c r="A26" s="259">
        <v>25</v>
      </c>
      <c r="B26" s="260">
        <f t="shared" ca="1" si="1"/>
        <v>3.5512812250661171E-3</v>
      </c>
      <c r="C26" s="260">
        <v>3.6760936328035653E-3</v>
      </c>
      <c r="E26" s="301">
        <v>25</v>
      </c>
      <c r="F26" s="280">
        <v>8</v>
      </c>
      <c r="G26" s="275"/>
      <c r="I26" s="295"/>
      <c r="J26" s="331" t="s">
        <v>74</v>
      </c>
      <c r="K26" s="332"/>
      <c r="L26" s="332"/>
      <c r="M26" s="332"/>
      <c r="N26" s="332"/>
      <c r="O26" s="332"/>
      <c r="P26" s="332"/>
      <c r="Q26" s="332"/>
      <c r="R26" s="332"/>
      <c r="S26" s="332"/>
      <c r="T26" s="332"/>
      <c r="U26" s="332"/>
      <c r="V26" s="332"/>
      <c r="W26" s="333"/>
      <c r="X26" s="302"/>
    </row>
    <row r="27" spans="1:24">
      <c r="A27" s="259">
        <v>26</v>
      </c>
      <c r="B27" s="260">
        <f t="shared" ca="1" si="1"/>
        <v>1.8885574964528737E-3</v>
      </c>
      <c r="C27" s="260">
        <v>1.1513479061139788E-3</v>
      </c>
      <c r="E27" s="303">
        <v>26</v>
      </c>
      <c r="F27" s="274"/>
      <c r="G27" s="275">
        <v>8</v>
      </c>
      <c r="I27" s="295"/>
      <c r="J27" s="344"/>
      <c r="K27" s="345"/>
      <c r="L27" s="266" t="s">
        <v>57</v>
      </c>
      <c r="M27" s="266" t="s">
        <v>13</v>
      </c>
      <c r="N27" s="266" t="s">
        <v>12</v>
      </c>
      <c r="O27" s="268" t="s">
        <v>58</v>
      </c>
      <c r="P27" s="269" t="s">
        <v>59</v>
      </c>
      <c r="Q27" s="344"/>
      <c r="R27" s="345"/>
      <c r="S27" s="266" t="s">
        <v>57</v>
      </c>
      <c r="T27" s="266" t="s">
        <v>13</v>
      </c>
      <c r="U27" s="266" t="s">
        <v>12</v>
      </c>
      <c r="V27" s="268" t="s">
        <v>58</v>
      </c>
      <c r="W27" s="269" t="s">
        <v>59</v>
      </c>
      <c r="X27" s="297"/>
    </row>
    <row r="28" spans="1:24" ht="12" customHeight="1">
      <c r="A28" s="259">
        <v>27</v>
      </c>
      <c r="B28" s="260">
        <f t="shared" ca="1" si="1"/>
        <v>3.739585747365967E-3</v>
      </c>
      <c r="C28" s="260">
        <v>2.0312834077392699E-3</v>
      </c>
      <c r="E28" s="301">
        <v>27</v>
      </c>
      <c r="F28" s="280"/>
      <c r="G28" s="275"/>
      <c r="I28" s="295"/>
      <c r="J28" s="346" t="s">
        <v>60</v>
      </c>
      <c r="K28" s="276" t="s">
        <v>61</v>
      </c>
      <c r="L28" s="292">
        <v>2</v>
      </c>
      <c r="M28" s="304">
        <v>2.5</v>
      </c>
      <c r="N28" s="304">
        <v>4</v>
      </c>
      <c r="O28" s="304">
        <v>6.5</v>
      </c>
      <c r="P28" s="280">
        <v>7.5</v>
      </c>
      <c r="Q28" s="346" t="s">
        <v>60</v>
      </c>
      <c r="R28" s="276" t="s">
        <v>61</v>
      </c>
      <c r="S28" s="292">
        <v>2</v>
      </c>
      <c r="T28" s="304">
        <v>0.5</v>
      </c>
      <c r="U28" s="304">
        <v>1.5</v>
      </c>
      <c r="V28" s="304">
        <v>2.5</v>
      </c>
      <c r="W28" s="280">
        <v>1</v>
      </c>
      <c r="X28" s="295"/>
    </row>
    <row r="29" spans="1:24">
      <c r="A29" s="259">
        <v>28</v>
      </c>
      <c r="B29" s="260">
        <f t="shared" ca="1" si="1"/>
        <v>3.9972271578888633E-3</v>
      </c>
      <c r="C29" s="260">
        <v>1.2344585938954447E-3</v>
      </c>
      <c r="E29" s="303">
        <v>28</v>
      </c>
      <c r="F29" s="274"/>
      <c r="G29" s="275">
        <v>10</v>
      </c>
      <c r="I29" s="295"/>
      <c r="J29" s="347"/>
      <c r="K29" s="276" t="s">
        <v>62</v>
      </c>
      <c r="L29" s="296">
        <v>4</v>
      </c>
      <c r="M29" s="305">
        <v>5</v>
      </c>
      <c r="N29" s="305">
        <v>8</v>
      </c>
      <c r="O29" s="305">
        <v>13</v>
      </c>
      <c r="P29" s="262">
        <v>15</v>
      </c>
      <c r="Q29" s="347"/>
      <c r="R29" s="276" t="s">
        <v>62</v>
      </c>
      <c r="S29" s="296">
        <v>4</v>
      </c>
      <c r="T29" s="305">
        <v>1</v>
      </c>
      <c r="U29" s="305">
        <v>3</v>
      </c>
      <c r="V29" s="305">
        <v>5</v>
      </c>
      <c r="W29" s="262">
        <v>2</v>
      </c>
      <c r="X29" s="295"/>
    </row>
    <row r="30" spans="1:24">
      <c r="A30" s="259">
        <v>29</v>
      </c>
      <c r="B30" s="260">
        <f t="shared" ca="1" si="1"/>
        <v>3.46329529522918E-3</v>
      </c>
      <c r="C30" s="260">
        <v>2.0579223883858805E-3</v>
      </c>
      <c r="E30" s="301">
        <v>29</v>
      </c>
      <c r="F30" s="280"/>
      <c r="G30" s="275"/>
      <c r="I30" s="295"/>
      <c r="J30" s="347"/>
      <c r="K30" s="276" t="s">
        <v>63</v>
      </c>
      <c r="L30" s="296">
        <v>8</v>
      </c>
      <c r="M30" s="305">
        <v>10</v>
      </c>
      <c r="N30" s="305">
        <v>16</v>
      </c>
      <c r="O30" s="305">
        <v>26</v>
      </c>
      <c r="P30" s="262">
        <v>30</v>
      </c>
      <c r="Q30" s="347"/>
      <c r="R30" s="276" t="s">
        <v>63</v>
      </c>
      <c r="S30" s="296">
        <v>8</v>
      </c>
      <c r="T30" s="305">
        <v>2</v>
      </c>
      <c r="U30" s="305">
        <v>6</v>
      </c>
      <c r="V30" s="305">
        <v>10</v>
      </c>
      <c r="W30" s="262">
        <v>4</v>
      </c>
      <c r="X30" s="295"/>
    </row>
    <row r="31" spans="1:24">
      <c r="A31" s="259">
        <v>30</v>
      </c>
      <c r="B31" s="260">
        <f t="shared" ca="1" si="1"/>
        <v>1.079821381539487E-4</v>
      </c>
      <c r="C31" s="260">
        <v>1.9658124013733017E-3</v>
      </c>
      <c r="E31" s="303">
        <v>30</v>
      </c>
      <c r="F31" s="274"/>
      <c r="G31" s="275">
        <v>16</v>
      </c>
      <c r="I31" s="295"/>
      <c r="J31" s="348"/>
      <c r="K31" s="306" t="s">
        <v>64</v>
      </c>
      <c r="L31" s="294">
        <v>10</v>
      </c>
      <c r="M31" s="307">
        <v>12.5</v>
      </c>
      <c r="N31" s="307">
        <v>20</v>
      </c>
      <c r="O31" s="307">
        <v>32.5</v>
      </c>
      <c r="P31" s="274">
        <v>37.5</v>
      </c>
      <c r="Q31" s="348"/>
      <c r="R31" s="306" t="s">
        <v>64</v>
      </c>
      <c r="S31" s="294">
        <v>10</v>
      </c>
      <c r="T31" s="307">
        <v>2.5</v>
      </c>
      <c r="U31" s="307">
        <v>7.5</v>
      </c>
      <c r="V31" s="307">
        <v>13</v>
      </c>
      <c r="W31" s="274">
        <v>4.5</v>
      </c>
      <c r="X31" s="295"/>
    </row>
    <row r="32" spans="1:24">
      <c r="A32" s="259">
        <v>31</v>
      </c>
      <c r="B32" s="260">
        <f t="shared" ca="1" si="1"/>
        <v>4.178393674630171E-3</v>
      </c>
      <c r="C32" s="260">
        <v>2.4428420360432137E-3</v>
      </c>
      <c r="E32" s="301">
        <v>31</v>
      </c>
      <c r="F32" s="262"/>
      <c r="G32" s="275">
        <v>2</v>
      </c>
      <c r="I32" s="295"/>
      <c r="J32" s="342" t="s">
        <v>65</v>
      </c>
      <c r="K32" s="308" t="s">
        <v>66</v>
      </c>
      <c r="L32" s="296">
        <v>1</v>
      </c>
      <c r="M32" s="305">
        <v>1.5</v>
      </c>
      <c r="N32" s="305">
        <v>2</v>
      </c>
      <c r="O32" s="305">
        <v>3</v>
      </c>
      <c r="P32" s="262">
        <v>4</v>
      </c>
      <c r="Q32" s="342" t="s">
        <v>65</v>
      </c>
      <c r="R32" s="308" t="s">
        <v>66</v>
      </c>
      <c r="S32" s="309">
        <v>1</v>
      </c>
      <c r="T32" s="310">
        <v>0.5</v>
      </c>
      <c r="U32" s="310">
        <v>0.5</v>
      </c>
      <c r="V32" s="310">
        <v>1</v>
      </c>
      <c r="W32" s="289">
        <v>1</v>
      </c>
      <c r="X32" s="295"/>
    </row>
    <row r="33" spans="1:24">
      <c r="A33" s="259">
        <v>32</v>
      </c>
      <c r="B33" s="260">
        <f t="shared" ca="1" si="1"/>
        <v>4.3868830889533614E-3</v>
      </c>
      <c r="C33" s="260">
        <v>1.7591624214601553E-3</v>
      </c>
      <c r="E33" s="294">
        <v>32</v>
      </c>
      <c r="F33" s="274">
        <v>2</v>
      </c>
      <c r="G33" s="311"/>
      <c r="I33" s="295"/>
      <c r="J33" s="342"/>
      <c r="K33" s="306" t="s">
        <v>67</v>
      </c>
      <c r="L33" s="296">
        <v>2</v>
      </c>
      <c r="M33" s="305">
        <v>3</v>
      </c>
      <c r="N33" s="305">
        <v>4</v>
      </c>
      <c r="O33" s="305">
        <v>6</v>
      </c>
      <c r="P33" s="262">
        <v>8</v>
      </c>
      <c r="Q33" s="342"/>
      <c r="R33" s="306" t="s">
        <v>67</v>
      </c>
      <c r="S33" s="309">
        <v>2</v>
      </c>
      <c r="T33" s="310">
        <v>1</v>
      </c>
      <c r="U33" s="310">
        <v>1</v>
      </c>
      <c r="V33" s="310">
        <v>2</v>
      </c>
      <c r="W33" s="289">
        <v>2</v>
      </c>
      <c r="X33" s="295"/>
    </row>
    <row r="34" spans="1:24">
      <c r="A34" s="259"/>
      <c r="I34" s="295"/>
      <c r="J34" s="343"/>
      <c r="K34" s="306" t="s">
        <v>68</v>
      </c>
      <c r="L34" s="294">
        <v>4</v>
      </c>
      <c r="M34" s="307">
        <v>6</v>
      </c>
      <c r="N34" s="307">
        <v>8</v>
      </c>
      <c r="O34" s="307">
        <v>12</v>
      </c>
      <c r="P34" s="274">
        <v>16</v>
      </c>
      <c r="Q34" s="343"/>
      <c r="R34" s="306" t="s">
        <v>68</v>
      </c>
      <c r="S34" s="313">
        <v>4</v>
      </c>
      <c r="T34" s="314">
        <v>2</v>
      </c>
      <c r="U34" s="314">
        <v>2</v>
      </c>
      <c r="V34" s="314">
        <v>4</v>
      </c>
      <c r="W34" s="291">
        <v>4</v>
      </c>
      <c r="X34" s="295"/>
    </row>
  </sheetData>
  <mergeCells count="21">
    <mergeCell ref="J32:J34"/>
    <mergeCell ref="Q32:Q34"/>
    <mergeCell ref="I21:I23"/>
    <mergeCell ref="Q21:Q23"/>
    <mergeCell ref="J26:W26"/>
    <mergeCell ref="J27:K27"/>
    <mergeCell ref="Q27:R27"/>
    <mergeCell ref="J28:J31"/>
    <mergeCell ref="Q28:Q31"/>
    <mergeCell ref="I12:X12"/>
    <mergeCell ref="Q13:R13"/>
    <mergeCell ref="I14:I17"/>
    <mergeCell ref="Q14:Q17"/>
    <mergeCell ref="I18:I20"/>
    <mergeCell ref="Q18:Q20"/>
    <mergeCell ref="I1:X1"/>
    <mergeCell ref="Q2:R2"/>
    <mergeCell ref="I3:I6"/>
    <mergeCell ref="Q3:Q6"/>
    <mergeCell ref="I7:I9"/>
    <mergeCell ref="Q7:Q9"/>
  </mergeCells>
  <phoneticPr fontId="1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8</vt:i4>
      </vt:variant>
      <vt:variant>
        <vt:lpstr>Περιοχές με ονόματα</vt:lpstr>
      </vt:variant>
      <vt:variant>
        <vt:i4>1</vt:i4>
      </vt:variant>
    </vt:vector>
  </HeadingPairs>
  <TitlesOfParts>
    <vt:vector size="9" baseType="lpstr">
      <vt:lpstr>Setup</vt:lpstr>
      <vt:lpstr>DrawPrep</vt:lpstr>
      <vt:lpstr>Draw</vt:lpstr>
      <vt:lpstr>PrgPrep</vt:lpstr>
      <vt:lpstr>Day1</vt:lpstr>
      <vt:lpstr>Day2</vt:lpstr>
      <vt:lpstr>notes</vt:lpstr>
      <vt:lpstr>tmp</vt:lpstr>
      <vt:lpstr>Draw!Print_Area</vt:lpstr>
    </vt:vector>
  </TitlesOfParts>
  <Company>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Tasos</cp:lastModifiedBy>
  <cp:lastPrinted>2014-07-01T06:19:45Z</cp:lastPrinted>
  <dcterms:created xsi:type="dcterms:W3CDTF">2011-03-03T12:31:09Z</dcterms:created>
  <dcterms:modified xsi:type="dcterms:W3CDTF">2026-06-03T18:44:46Z</dcterms:modified>
</cp:coreProperties>
</file>