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24519" iterate="1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G20"/>
  <c r="F20" s="1"/>
  <c r="E14"/>
  <c r="C14"/>
  <c r="B13"/>
  <c r="G13" s="1"/>
  <c r="E11"/>
  <c r="C10"/>
  <c r="B9"/>
  <c r="G9" s="1"/>
  <c r="G6"/>
  <c r="F6" s="1"/>
  <c r="G5"/>
  <c r="I5" s="1"/>
  <c r="F5"/>
  <c r="R2"/>
  <c r="P2"/>
  <c r="N2"/>
  <c r="I2"/>
  <c r="B2"/>
  <c r="G19" s="1"/>
  <c r="R1"/>
  <c r="A1"/>
  <c r="I13" l="1"/>
  <c r="F13"/>
  <c r="J5"/>
  <c r="K5" s="1"/>
  <c r="N5" s="1"/>
  <c r="P6" s="1"/>
  <c r="L5"/>
  <c r="H5"/>
  <c r="I19"/>
  <c r="F19"/>
  <c r="I9"/>
  <c r="F9"/>
  <c r="E6"/>
  <c r="D6" s="1"/>
  <c r="I6"/>
  <c r="G11"/>
  <c r="G14"/>
  <c r="E18"/>
  <c r="I20"/>
  <c r="G8"/>
  <c r="E10"/>
  <c r="E16"/>
  <c r="E19"/>
  <c r="E8"/>
  <c r="G10"/>
  <c r="G16"/>
  <c r="L9" l="1"/>
  <c r="H9"/>
  <c r="J9"/>
  <c r="K9" s="1"/>
  <c r="N9" s="1"/>
  <c r="P10" s="1"/>
  <c r="R8" s="1"/>
  <c r="R12" s="1"/>
  <c r="L13"/>
  <c r="H13"/>
  <c r="J13"/>
  <c r="K13" s="1"/>
  <c r="N13" s="1"/>
  <c r="P14" s="1"/>
  <c r="I10"/>
  <c r="F10"/>
  <c r="F14"/>
  <c r="I14"/>
  <c r="I11"/>
  <c r="F11"/>
  <c r="I16"/>
  <c r="F16"/>
  <c r="D7"/>
  <c r="B6"/>
  <c r="K19"/>
  <c r="L19"/>
  <c r="H19"/>
  <c r="J19"/>
  <c r="I8"/>
  <c r="F8"/>
  <c r="J20"/>
  <c r="K20" s="1"/>
  <c r="N19" s="1"/>
  <c r="P18" s="1"/>
  <c r="R16" s="1"/>
  <c r="L20"/>
  <c r="H20"/>
  <c r="J6"/>
  <c r="L6"/>
  <c r="H6"/>
  <c r="K6"/>
  <c r="K8" l="1"/>
  <c r="J8"/>
  <c r="L8"/>
  <c r="H8"/>
  <c r="K16"/>
  <c r="H16"/>
  <c r="J16"/>
  <c r="L16"/>
  <c r="B7"/>
  <c r="G7" s="1"/>
  <c r="D8"/>
  <c r="L11"/>
  <c r="H11"/>
  <c r="J11"/>
  <c r="K11"/>
  <c r="K10"/>
  <c r="L10"/>
  <c r="H10"/>
  <c r="J10"/>
  <c r="L14"/>
  <c r="H14"/>
  <c r="J14"/>
  <c r="K14"/>
  <c r="I7" l="1"/>
  <c r="F7"/>
  <c r="D9"/>
  <c r="D10" s="1"/>
  <c r="B8"/>
  <c r="D11" l="1"/>
  <c r="B10"/>
  <c r="L7"/>
  <c r="H7"/>
  <c r="J7"/>
  <c r="K7" s="1"/>
  <c r="N7" s="1"/>
  <c r="D12" l="1"/>
  <c r="B11"/>
  <c r="B12" l="1"/>
  <c r="G12" s="1"/>
  <c r="D13"/>
  <c r="D14" s="1"/>
  <c r="F12" l="1"/>
  <c r="I12"/>
  <c r="B14"/>
  <c r="D15"/>
  <c r="B15" l="1"/>
  <c r="G15" s="1"/>
  <c r="D16"/>
  <c r="J12"/>
  <c r="K12" s="1"/>
  <c r="N11" s="1"/>
  <c r="L12"/>
  <c r="H12"/>
  <c r="F15" l="1"/>
  <c r="I15"/>
  <c r="D17"/>
  <c r="B16"/>
  <c r="D18" l="1"/>
  <c r="B17"/>
  <c r="G17" s="1"/>
  <c r="J15"/>
  <c r="K15" s="1"/>
  <c r="N15" s="1"/>
  <c r="L15"/>
  <c r="H15"/>
  <c r="D19" l="1"/>
  <c r="B18"/>
  <c r="G18" s="1"/>
  <c r="I17"/>
  <c r="F17"/>
  <c r="L17" l="1"/>
  <c r="H17"/>
  <c r="J17"/>
  <c r="K17" s="1"/>
  <c r="N17" s="1"/>
  <c r="B19"/>
  <c r="D20"/>
  <c r="F18"/>
  <c r="I18"/>
  <c r="J18" l="1"/>
  <c r="K18" s="1"/>
  <c r="L18"/>
  <c r="H18"/>
</calcChain>
</file>

<file path=xl/sharedStrings.xml><?xml version="1.0" encoding="utf-8"?>
<sst xmlns="http://schemas.openxmlformats.org/spreadsheetml/2006/main" count="25" uniqueCount="21">
  <si>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</si>
  <si>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</si>
  <si>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</si>
  <si>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</si>
  <si>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</si>
  <si>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</si>
  <si>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</si>
  <si>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</si>
  <si>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</si>
  <si>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</si>
  <si>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</si>
  <si>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40 40</t>
  </si>
  <si>
    <t>62 63</t>
  </si>
  <si>
    <t>60 62</t>
  </si>
  <si>
    <t>40 41</t>
  </si>
  <si>
    <t>61 61</t>
  </si>
  <si>
    <t>42 53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</si>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</sst>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5">
    <cellStyle name="Normal 2" xfId="1"/>
    <cellStyle name="Κανονικό" xfId="0" builtinId="0"/>
    <cellStyle name="Κανονικό 3" xfId="2"/>
    <cellStyle name="Κανονικό 4" xfId="3"/>
    <cellStyle name="Κανονικό 6" xfId="4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o%20E3%202014/E3-2%20AETN%20K14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K 14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3</v>
          </cell>
        </row>
        <row r="62">
          <cell r="E62">
            <v>4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B77">
            <v>7</v>
          </cell>
          <cell r="G77">
            <v>0</v>
          </cell>
          <cell r="H77">
            <v>0</v>
          </cell>
        </row>
        <row r="78">
          <cell r="B78">
            <v>4</v>
          </cell>
          <cell r="G78">
            <v>1</v>
          </cell>
          <cell r="H78">
            <v>1</v>
          </cell>
        </row>
        <row r="79">
          <cell r="G79">
            <v>2</v>
          </cell>
          <cell r="H79">
            <v>2</v>
          </cell>
        </row>
        <row r="80">
          <cell r="G80">
            <v>3</v>
          </cell>
          <cell r="H80">
            <v>3</v>
          </cell>
        </row>
        <row r="81">
          <cell r="G81">
            <v>4</v>
          </cell>
          <cell r="H81">
            <v>4</v>
          </cell>
        </row>
        <row r="82">
          <cell r="G82">
            <v>5</v>
          </cell>
          <cell r="H82">
            <v>9</v>
          </cell>
        </row>
        <row r="83">
          <cell r="G83">
            <v>6</v>
          </cell>
          <cell r="H83">
            <v>6</v>
          </cell>
        </row>
        <row r="84">
          <cell r="G84">
            <v>7</v>
          </cell>
          <cell r="H84">
            <v>5</v>
          </cell>
        </row>
        <row r="85">
          <cell r="G85">
            <v>8</v>
          </cell>
          <cell r="H85">
            <v>8</v>
          </cell>
        </row>
        <row r="86">
          <cell r="G86">
            <v>9</v>
          </cell>
          <cell r="H86">
            <v>7</v>
          </cell>
        </row>
      </sheetData>
      <sheetData sheetId="1"/>
      <sheetData sheetId="2">
        <row r="3">
          <cell r="A3">
            <v>1</v>
          </cell>
          <cell r="C3">
            <v>30563</v>
          </cell>
          <cell r="D3" t="str">
            <v>ΑΝΔΡΙΟΠΟΥΛΟΥ ΑΓΓΕΛΙΚΗ-ΑΘΑΝΑΣΙΑ</v>
          </cell>
          <cell r="E3" t="str">
            <v>Α.Ε.Τ. ΝΙΚΗ ΠΑΤΡΩΝ</v>
          </cell>
          <cell r="F3">
            <v>42.5</v>
          </cell>
        </row>
        <row r="4">
          <cell r="A4">
            <v>2</v>
          </cell>
          <cell r="B4" t="str">
            <v xml:space="preserve">   </v>
          </cell>
          <cell r="C4">
            <v>30561</v>
          </cell>
          <cell r="D4" t="str">
            <v>ΜΑΓΕΙΡΟΠΟΥΛΟΥ ΜΑΡΙΛΙΑ</v>
          </cell>
          <cell r="E4" t="str">
            <v>Α.Ε.Τ. ΝΙΚΗ ΠΑΤΡΩΝ</v>
          </cell>
          <cell r="F4">
            <v>35</v>
          </cell>
        </row>
        <row r="5">
          <cell r="A5">
            <v>3</v>
          </cell>
          <cell r="C5">
            <v>30116</v>
          </cell>
          <cell r="D5" t="str">
            <v>ΜΠΑΖΟΥ ΑΝΤΩΝΙΑ-ΕΛΕΝΗ</v>
          </cell>
          <cell r="E5" t="str">
            <v>ΝΑΥΠΛΙΑΚΟΣ Ο.Α.</v>
          </cell>
          <cell r="F5">
            <v>16.5</v>
          </cell>
        </row>
        <row r="6">
          <cell r="A6">
            <v>4</v>
          </cell>
          <cell r="C6" t="str">
            <v>27102</v>
          </cell>
          <cell r="D6" t="str">
            <v>ΠΑΠΑΗΛΙΙΟΥ ΒΑΣΙΑ</v>
          </cell>
          <cell r="E6" t="str">
            <v>Α.Ε.Κ. ΤΡΙΠΟΛΗΣ</v>
          </cell>
          <cell r="F6">
            <v>8</v>
          </cell>
        </row>
        <row r="7">
          <cell r="A7">
            <v>5</v>
          </cell>
          <cell r="C7">
            <v>35121</v>
          </cell>
          <cell r="D7" t="str">
            <v>ΠΑΠΑΔΕΑ ΔΗΜΗΤΡΑ</v>
          </cell>
          <cell r="E7" t="str">
            <v>Ο.Α. ΡΙΟΥ</v>
          </cell>
          <cell r="F7">
            <v>4</v>
          </cell>
        </row>
        <row r="8">
          <cell r="A8">
            <v>6</v>
          </cell>
          <cell r="C8">
            <v>34919</v>
          </cell>
          <cell r="D8" t="str">
            <v>ΧΙΩΤΙΝΗ ΑΝΝΑ-ΜΑΡΙΑ</v>
          </cell>
          <cell r="E8" t="str">
            <v>Α.Ο. ΠΟΣΕΙΔΩΝ ΛΟΥΤΡΑΚΙΟΥ</v>
          </cell>
          <cell r="F8">
            <v>1.5</v>
          </cell>
        </row>
        <row r="9">
          <cell r="A9">
            <v>7</v>
          </cell>
          <cell r="C9">
            <v>30717</v>
          </cell>
          <cell r="D9" t="str">
            <v>ΤΡΙΑΝΤΟΥ ΕΥΓΕΝΙΑ</v>
          </cell>
          <cell r="E9" t="str">
            <v>Α.Ε.Τ. ΝΙΚΗ ΠΑΤΡΩΝ</v>
          </cell>
        </row>
        <row r="10">
          <cell r="A10">
            <v>8</v>
          </cell>
          <cell r="C10">
            <v>33914</v>
          </cell>
          <cell r="D10" t="str">
            <v>ΦΟΥΝΤΖΗΛΑ ΕΛΕΑΝΑ</v>
          </cell>
          <cell r="E10" t="str">
            <v>Ο.Α. ΝΑΥΠΑΚΤΟΥ</v>
          </cell>
        </row>
        <row r="11">
          <cell r="A11">
            <v>9</v>
          </cell>
          <cell r="C11">
            <v>32757</v>
          </cell>
          <cell r="D11" t="str">
            <v>ΧΟΝΔΡΟΥ ΑΙΚΑΤΕΡΙΝΗ</v>
          </cell>
          <cell r="E11" t="str">
            <v>Α.Ο. ΑΙΓΙΟΥ ΜΟΡΕΑΣ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U16" sqref="U16"/>
    </sheetView>
  </sheetViews>
  <sheetFormatPr defaultColWidth="5.140625" defaultRowHeight="11.25"/>
  <cols>
    <col min="1" max="1" width="2.42578125" style="9" bestFit="1" customWidth="1"/>
    <col min="2" max="2" width="2.425781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bestFit="1" customWidth="1"/>
    <col min="7" max="7" width="4" style="12" bestFit="1" customWidth="1"/>
    <col min="8" max="8" width="3.140625" style="12" bestFit="1" customWidth="1"/>
    <col min="9" max="9" width="5.5703125" style="14" customWidth="1"/>
    <col min="10" max="10" width="33.140625" style="9" customWidth="1"/>
    <col min="11" max="11" width="20.5703125" style="9" hidden="1" customWidth="1"/>
    <col min="12" max="12" width="23.140625" style="9" bestFit="1" customWidth="1"/>
    <col min="13" max="13" width="1.5703125" style="96" bestFit="1" customWidth="1"/>
    <col min="14" max="14" width="14.140625" style="9" bestFit="1" customWidth="1"/>
    <col min="15" max="15" width="1.5703125" style="44" bestFit="1" customWidth="1"/>
    <col min="16" max="16" width="14.140625" style="9" bestFit="1" customWidth="1"/>
    <col min="17" max="17" width="1.5703125" style="44" bestFit="1" customWidth="1"/>
    <col min="18" max="18" width="14.140625" style="99" bestFit="1" customWidth="1"/>
    <col min="19" max="19" width="0.85546875" style="42" customWidth="1"/>
    <col min="20" max="16384" width="5.140625" style="9"/>
  </cols>
  <sheetData>
    <row r="1" spans="1:19" s="5" customFormat="1" ht="21" customHeight="1">
      <c r="A1" s="1" t="str">
        <f>[1]Setup!B3 &amp; ", " &amp; [1]Setup!B4 &amp; ", " &amp; [1]Setup!B6 &amp; ", " &amp; [1]Setup!B8 &amp; "-" &amp; [1]Setup!B9</f>
        <v>ΣΤ'ΕΝΩΣΗ, 3ο Ε3, ΑΕΤ ΝΙΚΗ ΠΑΤΡΩΝ, 29-30 Μαρτίου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K 14</v>
      </c>
      <c r="S1" s="4"/>
    </row>
    <row r="2" spans="1:19">
      <c r="A2" s="6"/>
      <c r="B2" s="7">
        <f>[1]Setup!$B$77</f>
        <v>7</v>
      </c>
      <c r="C2" s="7"/>
      <c r="D2" s="8"/>
      <c r="E2" s="8"/>
      <c r="G2" s="10"/>
      <c r="H2" s="10"/>
      <c r="I2" s="10" t="e">
        <f>"p"&amp;VLOOKUP([1]Setup!$B$5,[1]tmp!$J$14:$P$23,3,FALSE)</f>
        <v>#N/A</v>
      </c>
      <c r="J2" s="10"/>
      <c r="K2" s="10"/>
      <c r="L2" s="10"/>
      <c r="M2" s="10"/>
      <c r="N2" s="10" t="e">
        <f>"p"&amp;VLOOKUP([1]Setup!$B$5,[1]tmp!$J$14:$P$23,4,FALSE)</f>
        <v>#N/A</v>
      </c>
      <c r="O2" s="10"/>
      <c r="P2" s="10" t="e">
        <f>"p"&amp;VLOOKUP([1]Setup!$B$5,[1]tmp!$J$14:$P$23,5,FALSE)</f>
        <v>#N/A</v>
      </c>
      <c r="Q2" s="10"/>
      <c r="R2" s="10" t="e">
        <f>"p"&amp;VLOOKUP([1]Setup!$B$5,[1]tmp!$J$14:$P$23,6,FALSE)&amp;"-"&amp;VLOOKUP([1]Setup!$B$5,[1]tmp!$J$14:$P$23,7,FALSE)</f>
        <v>#N/A</v>
      </c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9" ht="12">
      <c r="A5" s="28">
        <v>1</v>
      </c>
      <c r="B5" s="29">
        <v>1</v>
      </c>
      <c r="C5" s="30"/>
      <c r="D5" s="31"/>
      <c r="E5" s="32">
        <v>0</v>
      </c>
      <c r="F5" s="33">
        <f>IF(NOT($G5="-"),VLOOKUP($G5,'[1]AL MD'!$A$3:$G$18,2,FALSE),"")</f>
        <v>0</v>
      </c>
      <c r="G5" s="34">
        <f>VLOOKUP($B5,[1]Setup!$G$71:$H$86,2,FALSE)</f>
        <v>1</v>
      </c>
      <c r="H5" s="35">
        <f>IF($I5&gt;0,VLOOKUP($G5,'[1]AL MD'!$A$3:$G$18,6,FALSE),0)</f>
        <v>42.5</v>
      </c>
      <c r="I5" s="36">
        <f>IF([1]Setup!$B$25="#",0,IF($G5&gt;0,VLOOKUP($G5,'[1]AL MD'!$A$3:$G$18,3,FALSE),0))</f>
        <v>30563</v>
      </c>
      <c r="J5" s="37" t="str">
        <f>IF($I5&gt;0,VLOOKUP($I5,'[1]AL MD'!$C$3:$G$18,2,FALSE),"bye")</f>
        <v>ΑΝΔΡΙΟΠΟΥΛΟΥ ΑΓΓΕΛΙΚΗ-ΑΘΑΝΑΣΙΑ</v>
      </c>
      <c r="K5" s="38" t="str">
        <f t="shared" ref="K5:K20" si="0">IF(NOT(I5&gt;0),"", IF(ISERROR(FIND("-",J5)), LEFT(J5,FIND(" ",J5)-1), IF(FIND("-",J5)&gt;FIND(" ",J5),LEFT(J5,FIND(" ",J5)-1), LEFT(J5,FIND("-",J5)-1) )))</f>
        <v>ΑΝΔΡΙΟΠΟΥΛΟΥ</v>
      </c>
      <c r="L5" s="39" t="str">
        <f>IF($I5&gt;0,VLOOKUP($I5,'[1]AL MD'!$C$3:$G$18,3,FALSE),"")</f>
        <v>Α.Ε.Τ. ΝΙΚΗ ΠΑΤΡΩΝ</v>
      </c>
      <c r="M5" s="40">
        <v>1</v>
      </c>
      <c r="N5" s="41" t="str">
        <f>UPPER(IF($A$2="R",IF(OR(M5=1,M5="a"),I5,IF(OR(M5=2,M5="b"),I6,"")),IF(OR(M5=1,M5="1"),K5,IF(OR(M5=2,M5="b"),K6,""))))</f>
        <v>ΑΝΔΡΙΟΠΟΥΛΟΥ</v>
      </c>
      <c r="O5" s="42"/>
      <c r="P5" s="43"/>
      <c r="R5" s="43"/>
    </row>
    <row r="6" spans="1:19" ht="12">
      <c r="A6" s="45">
        <v>2</v>
      </c>
      <c r="B6" s="46">
        <f>1-D6+4</f>
        <v>4</v>
      </c>
      <c r="C6" s="47">
        <v>1</v>
      </c>
      <c r="D6" s="48">
        <f>E6</f>
        <v>1</v>
      </c>
      <c r="E6" s="49">
        <f>IF($B$2&gt;=C6,1,0)</f>
        <v>1</v>
      </c>
      <c r="F6" s="50" t="str">
        <f>IF(NOT($G6="-"),VLOOKUP($G6,'[1]AL MD'!$A$3:$G$18,2,FALSE),"")</f>
        <v/>
      </c>
      <c r="G6" s="50" t="str">
        <f>IF($B$2&gt;=C6,"-",VLOOKUP($B6,[1]Setup!$G$71:$H$86,2,FALSE))</f>
        <v>-</v>
      </c>
      <c r="H6" s="51">
        <f>IF($I6&gt;0,VLOOKUP($G6,'[1]AL MD'!$A$3:$G$18,6,FALSE),0)</f>
        <v>0</v>
      </c>
      <c r="I6" s="51">
        <f>IF([1]Setup!$B$25="#",0,IF(NOT($G6="-"),VLOOKUP($G6,'[1]AL MD'!$A$3:$G$18,3,FALSE),0))</f>
        <v>0</v>
      </c>
      <c r="J6" s="52" t="str">
        <f>IF($I6&gt;0,VLOOKUP($I6,'[1]AL MD'!$C$3:$G$18,2,FALSE),"bye")</f>
        <v>bye</v>
      </c>
      <c r="K6" s="53" t="str">
        <f t="shared" si="0"/>
        <v/>
      </c>
      <c r="L6" s="54" t="str">
        <f>IF($I6&gt;0,VLOOKUP($I6,'[1]AL MD'!$C$3:$G$18,3,FALSE),"")</f>
        <v/>
      </c>
      <c r="M6" s="55"/>
      <c r="N6" s="56"/>
      <c r="O6" s="40">
        <v>1</v>
      </c>
      <c r="P6" s="41" t="str">
        <f>UPPER(IF($A$2="R",IF(OR(O6=1,O6="a"),N5,IF(OR(O6=2,O6="b"),N7,"")),IF(OR(O6=1,O6="a"),N5,IF(OR(O6=2,O6="b"),N7,""))))</f>
        <v>ΑΝΔΡΙΟΠΟΥΛΟΥ</v>
      </c>
      <c r="Q6" s="42"/>
      <c r="R6" s="43"/>
    </row>
    <row r="7" spans="1:19" ht="12">
      <c r="A7" s="57">
        <v>3</v>
      </c>
      <c r="B7" s="46">
        <f>2-D7+4</f>
        <v>5</v>
      </c>
      <c r="C7" s="58"/>
      <c r="D7" s="48">
        <f t="shared" ref="D7:D20" si="1">D6+E7</f>
        <v>1</v>
      </c>
      <c r="E7" s="59">
        <v>0</v>
      </c>
      <c r="F7" s="60">
        <f>IF(NOT($G7="-"),VLOOKUP($G7,'[1]AL MD'!$A$3:$G$18,2,FALSE),"")</f>
        <v>0</v>
      </c>
      <c r="G7" s="60">
        <f>VLOOKUP($B7,[1]Setup!$G$71:$H$86,2,FALSE)</f>
        <v>9</v>
      </c>
      <c r="H7" s="61">
        <f>IF($I7&gt;0,VLOOKUP($G7,'[1]AL MD'!$A$3:$G$18,6,FALSE),0)</f>
        <v>0</v>
      </c>
      <c r="I7" s="61">
        <f>IF([1]Setup!$B$25="#",0,IF($G7&gt;0,VLOOKUP($G7,'[1]AL MD'!$A$3:$G$18,3,FALSE),0))</f>
        <v>32757</v>
      </c>
      <c r="J7" s="62" t="str">
        <f>IF($I7&gt;0,VLOOKUP($I7,'[1]AL MD'!$C$3:$G$18,2,FALSE),"bye")</f>
        <v>ΧΟΝΔΡΟΥ ΑΙΚΑΤΕΡΙΝΗ</v>
      </c>
      <c r="K7" s="63" t="str">
        <f t="shared" si="0"/>
        <v>ΧΟΝΔΡΟΥ</v>
      </c>
      <c r="L7" s="64" t="str">
        <f>IF($I7&gt;0,VLOOKUP($I7,'[1]AL MD'!$C$3:$G$18,3,FALSE),"")</f>
        <v>Α.Ο. ΑΙΓΙΟΥ ΜΟΡΕΑΣ</v>
      </c>
      <c r="M7" s="40">
        <v>1</v>
      </c>
      <c r="N7" s="41" t="str">
        <f>UPPER(IF($A$2="R",IF(OR(M7=1,M7="a"),I7,IF(OR(M7=2,M7="b"),I8,"")),IF(OR(M7=1,M7="a"),K7,IF(OR(M7=2,M7="b"),K8,""))))</f>
        <v>ΧΟΝΔΡΟΥ</v>
      </c>
      <c r="O7" s="55"/>
      <c r="P7" s="56" t="s">
        <v>11</v>
      </c>
      <c r="Q7" s="42"/>
      <c r="R7" s="43"/>
    </row>
    <row r="8" spans="1:19" ht="12">
      <c r="A8" s="65">
        <v>4</v>
      </c>
      <c r="B8" s="46">
        <f>3-D8+4</f>
        <v>5</v>
      </c>
      <c r="C8" s="47">
        <v>7</v>
      </c>
      <c r="D8" s="48">
        <f t="shared" si="1"/>
        <v>2</v>
      </c>
      <c r="E8" s="49">
        <f>IF($B$2&gt;=C8,1,0)</f>
        <v>1</v>
      </c>
      <c r="F8" s="66" t="str">
        <f>IF(NOT($G8="-"),VLOOKUP($G8,'[1]AL MD'!$A$3:$G$18,2,FALSE),"")</f>
        <v/>
      </c>
      <c r="G8" s="66" t="str">
        <f>IF($B$2&gt;=C8,"-",VLOOKUP($B8,[1]Setup!$G$71:$H$86,2,FALSE))</f>
        <v>-</v>
      </c>
      <c r="H8" s="67">
        <f>IF($I8&gt;0,VLOOKUP($G8,'[1]AL MD'!$A$3:$G$18,6,FALSE),0)</f>
        <v>0</v>
      </c>
      <c r="I8" s="67">
        <f>IF([1]Setup!$B$25="#",0,IF(NOT($G8="-"),VLOOKUP($G8,'[1]AL MD'!$A$3:$G$18,3,FALSE),0))</f>
        <v>0</v>
      </c>
      <c r="J8" s="68" t="str">
        <f>IF($I8&gt;0,VLOOKUP($I8,'[1]AL MD'!$C$3:$G$18,2,FALSE),"bye")</f>
        <v>bye</v>
      </c>
      <c r="K8" s="53" t="str">
        <f t="shared" si="0"/>
        <v/>
      </c>
      <c r="L8" s="69" t="str">
        <f>IF($I8&gt;0,VLOOKUP($I8,'[1]AL MD'!$C$3:$G$18,3,FALSE),"")</f>
        <v/>
      </c>
      <c r="M8" s="55"/>
      <c r="N8" s="13"/>
      <c r="O8" s="42"/>
      <c r="P8" s="70"/>
      <c r="Q8" s="71">
        <v>2</v>
      </c>
      <c r="R8" s="51" t="str">
        <f>UPPER(IF($A$2="R",IF(OR(Q8=1,Q8="a"),P6,IF(OR(Q8=2,Q8="b"),P10,"")),IF(OR(Q8=1,Q8="a"),P6,IF(OR(Q8=2,Q8="b"),P10,""))))</f>
        <v>ΜΠΑΖΟΥ</v>
      </c>
    </row>
    <row r="9" spans="1:19" ht="12">
      <c r="A9" s="28">
        <v>5</v>
      </c>
      <c r="B9" s="29">
        <f>VALUE([1]Setup!E61)</f>
        <v>3</v>
      </c>
      <c r="C9" s="58"/>
      <c r="D9" s="48">
        <f t="shared" si="1"/>
        <v>2</v>
      </c>
      <c r="E9" s="59">
        <v>0</v>
      </c>
      <c r="F9" s="33">
        <f>IF(NOT($G9="-"),VLOOKUP($G9,'[1]AL MD'!$A$3:$G$18,2,FALSE),"")</f>
        <v>0</v>
      </c>
      <c r="G9" s="34">
        <f>VLOOKUP($B9,[1]Setup!$G$71:$H$86,2,FALSE)</f>
        <v>3</v>
      </c>
      <c r="H9" s="35">
        <f>IF($I9&gt;0,VLOOKUP($G9,'[1]AL MD'!$A$3:$G$18,6,FALSE),0)</f>
        <v>16.5</v>
      </c>
      <c r="I9" s="36">
        <f>IF([1]Setup!$B$25="#",0,IF($G9&gt;0,VLOOKUP($G9,'[1]AL MD'!$A$3:$G$18,3,FALSE),0))</f>
        <v>30116</v>
      </c>
      <c r="J9" s="37" t="str">
        <f>IF($I9&gt;0,VLOOKUP($I9,'[1]AL MD'!$C$3:$G$18,2,FALSE),"bye")</f>
        <v>ΜΠΑΖΟΥ ΑΝΤΩΝΙΑ-ΕΛΕΝΗ</v>
      </c>
      <c r="K9" s="38" t="str">
        <f t="shared" si="0"/>
        <v>ΜΠΑΖΟΥ</v>
      </c>
      <c r="L9" s="39" t="str">
        <f>IF($I9&gt;0,VLOOKUP($I9,'[1]AL MD'!$C$3:$G$18,3,FALSE),"")</f>
        <v>ΝΑΥΠΛΙΑΚΟΣ Ο.Α.</v>
      </c>
      <c r="M9" s="72">
        <v>1</v>
      </c>
      <c r="N9" s="41" t="str">
        <f>UPPER(IF($A$2="R",IF(OR(M9=1,M9="a"),I9,IF(OR(M9=2,M9="b"),I10,"")),IF(OR(M9=1,M9="a"),K9,IF(OR(M9=2,M9="b"),K10,""))))</f>
        <v>ΜΠΑΖΟΥ</v>
      </c>
      <c r="O9" s="42"/>
      <c r="P9" s="70"/>
      <c r="Q9" s="42"/>
      <c r="R9" s="73" t="s">
        <v>12</v>
      </c>
    </row>
    <row r="10" spans="1:19" ht="12">
      <c r="A10" s="45">
        <v>6</v>
      </c>
      <c r="B10" s="46">
        <f>4-D10+4</f>
        <v>5</v>
      </c>
      <c r="C10" s="74">
        <f>IF([1]Setup!E2=3,3,4)</f>
        <v>4</v>
      </c>
      <c r="D10" s="48">
        <f t="shared" si="1"/>
        <v>3</v>
      </c>
      <c r="E10" s="49">
        <f>IF($B$2&gt;=C10,1,0)</f>
        <v>1</v>
      </c>
      <c r="F10" s="50" t="str">
        <f>IF(NOT($G10="-"),VLOOKUP($G10,'[1]AL MD'!$A$3:$G$18,2,FALSE),"")</f>
        <v/>
      </c>
      <c r="G10" s="50" t="str">
        <f>IF($B$2&gt;=C10,"-",VLOOKUP($B10,[1]Setup!$G$71:$H$86,2,FALSE))</f>
        <v>-</v>
      </c>
      <c r="H10" s="51">
        <f>IF( $I10&gt;0,VLOOKUP($G10,'[1]AL MD'!$A$3:$G$18,6,FALSE),0)</f>
        <v>0</v>
      </c>
      <c r="I10" s="51">
        <f>IF([1]Setup!$B$25="#",0,IF(NOT($G10="-"),VLOOKUP($G10,'[1]AL MD'!$A$3:$G$18,3,FALSE),0))</f>
        <v>0</v>
      </c>
      <c r="J10" s="52" t="str">
        <f>IF($I10&gt;0,VLOOKUP($I10,'[1]AL MD'!$C$3:$G$18,2,FALSE),"bye")</f>
        <v>bye</v>
      </c>
      <c r="K10" s="53" t="str">
        <f t="shared" si="0"/>
        <v/>
      </c>
      <c r="L10" s="54" t="str">
        <f>IF($I10&gt;0,VLOOKUP($I10,'[1]AL MD'!$C$3:$G$18,3,FALSE),"")</f>
        <v/>
      </c>
      <c r="M10" s="55"/>
      <c r="N10" s="56"/>
      <c r="O10" s="40">
        <v>1</v>
      </c>
      <c r="P10" s="41" t="str">
        <f>UPPER(IF($A$2="R",IF(OR(O10=1,O10="a"),N9,IF(OR(O10=2,O10="b"),N11,"")),IF(OR(O10=1,O10="a"),N9,IF(OR(O10=2,O10="b"),N11,""))))</f>
        <v>ΜΠΑΖΟΥ</v>
      </c>
      <c r="Q10" s="75"/>
      <c r="R10" s="76"/>
    </row>
    <row r="11" spans="1:19" ht="12">
      <c r="A11" s="57">
        <v>7</v>
      </c>
      <c r="B11" s="46">
        <f>5-D11+4</f>
        <v>5</v>
      </c>
      <c r="C11" s="47">
        <v>5</v>
      </c>
      <c r="D11" s="48">
        <f t="shared" si="1"/>
        <v>4</v>
      </c>
      <c r="E11" s="49">
        <f>IF($B$2&gt;=C11,1,0)</f>
        <v>1</v>
      </c>
      <c r="F11" s="60" t="str">
        <f>IF(NOT($G11="-"),VLOOKUP($G11,'[1]AL MD'!$A$3:$G$18,2,FALSE),"")</f>
        <v/>
      </c>
      <c r="G11" s="60" t="str">
        <f>IF($B$2&gt;=C11,"-",VLOOKUP($B11,[1]Setup!$G$71:$H$86,2,FALSE))</f>
        <v>-</v>
      </c>
      <c r="H11" s="61">
        <f>IF($I11&gt;0,VLOOKUP($G11,'[1]AL MD'!$A$3:$G$18,6,FALSE),0)</f>
        <v>0</v>
      </c>
      <c r="I11" s="61">
        <f>IF([1]Setup!$B$25="#",0,IF(NOT($G11="-"),VLOOKUP($G11,'[1]AL MD'!$A$3:$G$18,3,FALSE),0))</f>
        <v>0</v>
      </c>
      <c r="J11" s="62" t="str">
        <f>IF($I11&gt;0,VLOOKUP($I11,'[1]AL MD'!$C$3:$G$18,2,FALSE),"bye")</f>
        <v>bye</v>
      </c>
      <c r="K11" s="63" t="str">
        <f t="shared" si="0"/>
        <v/>
      </c>
      <c r="L11" s="64" t="str">
        <f>IF($I11&gt;0,VLOOKUP($I11,'[1]AL MD'!$C$3:$G$18,3,FALSE),"")</f>
        <v/>
      </c>
      <c r="M11" s="40">
        <v>2</v>
      </c>
      <c r="N11" s="41" t="str">
        <f>UPPER(IF($A$2="R",IF(OR(M11=1,M11="a"),I11,IF(OR(M11=2,M11="b"),I12,"")),IF(OR(M11=1,M11="a"),K11,IF(OR(M11=2,M11="b"),K12,""))))</f>
        <v>ΧΙΩΤΙΝΗ</v>
      </c>
      <c r="O11" s="55"/>
      <c r="P11" s="63" t="s">
        <v>11</v>
      </c>
      <c r="Q11" s="42"/>
      <c r="R11" s="76"/>
    </row>
    <row r="12" spans="1:19" ht="12">
      <c r="A12" s="65">
        <v>8</v>
      </c>
      <c r="B12" s="46">
        <f>6-D12+4</f>
        <v>6</v>
      </c>
      <c r="C12" s="58"/>
      <c r="D12" s="48">
        <f t="shared" si="1"/>
        <v>4</v>
      </c>
      <c r="E12" s="59">
        <v>0</v>
      </c>
      <c r="F12" s="66">
        <f>IF(NOT($G12="-"),VLOOKUP($G12,'[1]AL MD'!$A$3:$G$18,2,FALSE),"")</f>
        <v>0</v>
      </c>
      <c r="G12" s="77">
        <f>VLOOKUP($B12,[1]Setup!$G$71:$H$86,2,FALSE)</f>
        <v>6</v>
      </c>
      <c r="H12" s="67">
        <f>IF($I12&gt;0,VLOOKUP($G12,'[1]AL MD'!$A$3:$G$18,6,FALSE),0)</f>
        <v>1.5</v>
      </c>
      <c r="I12" s="67">
        <f>IF([1]Setup!$B$25="#",0,IF($G12&gt;0,VLOOKUP($G12,'[1]AL MD'!$A$3:$G$18,3,FALSE),0))</f>
        <v>34919</v>
      </c>
      <c r="J12" s="68" t="str">
        <f>IF($I12&gt;0,VLOOKUP($I12,'[1]AL MD'!$C$3:$G$18,2,FALSE),"bye")</f>
        <v>ΧΙΩΤΙΝΗ ΑΝΝΑ-ΜΑΡΙΑ</v>
      </c>
      <c r="K12" s="53" t="str">
        <f t="shared" si="0"/>
        <v>ΧΙΩΤΙΝΗ</v>
      </c>
      <c r="L12" s="69" t="str">
        <f>IF($I12&gt;0,VLOOKUP($I12,'[1]AL MD'!$C$3:$G$18,3,FALSE),"")</f>
        <v>Α.Ο. ΠΟΣΕΙΔΩΝ ΛΟΥΤΡΑΚΙΟΥ</v>
      </c>
      <c r="M12" s="55"/>
      <c r="N12" s="63"/>
      <c r="P12" s="43"/>
      <c r="Q12" s="71">
        <v>1</v>
      </c>
      <c r="R12" s="78" t="str">
        <f>UPPER(IF($A$2="R",IF(OR(Q12=1,Q12="a"),R8,IF(OR(Q12=2,Q12="b"),R16,"")),IF(OR(Q12=1,Q12="a"),R8,IF(OR(Q12=2,Q12="b"),R16,""))))</f>
        <v>ΜΠΑΖΟΥ</v>
      </c>
      <c r="S12" s="75"/>
    </row>
    <row r="13" spans="1:19" ht="12">
      <c r="A13" s="79">
        <v>9</v>
      </c>
      <c r="B13" s="29">
        <f>VALUE([1]Setup!E62)</f>
        <v>4</v>
      </c>
      <c r="C13" s="58"/>
      <c r="D13" s="48">
        <f t="shared" si="1"/>
        <v>4</v>
      </c>
      <c r="E13" s="59">
        <v>0</v>
      </c>
      <c r="F13" s="27">
        <f>IF(NOT($G13="-"),VLOOKUP($G13,'[1]AL MD'!$A$3:$G$18,2,FALSE),"")</f>
        <v>0</v>
      </c>
      <c r="G13" s="80">
        <f>VLOOKUP($B13,[1]Setup!$G$71:$H$86,2,FALSE)</f>
        <v>4</v>
      </c>
      <c r="H13" s="81">
        <f>IF($I13&gt;0,VLOOKUP($G13,'[1]AL MD'!$A$3:$G$18,6,FALSE),0)</f>
        <v>8</v>
      </c>
      <c r="I13" s="82" t="str">
        <f>IF([1]Setup!$B$25="#",0,IF($G13&gt;0,VLOOKUP($G13,'[1]AL MD'!$A$3:$G$18,3,FALSE),0))</f>
        <v>27102</v>
      </c>
      <c r="J13" s="83" t="str">
        <f>IF($I13&gt;0,VLOOKUP($I13,'[1]AL MD'!$C$3:$G$18,2,FALSE),"bye")</f>
        <v>ΠΑΠΑΗΛΙΙΟΥ ΒΑΣΙΑ</v>
      </c>
      <c r="K13" s="84" t="str">
        <f t="shared" si="0"/>
        <v>ΠΑΠΑΗΛΙΙΟΥ</v>
      </c>
      <c r="L13" s="85" t="str">
        <f>IF($I13&gt;0,VLOOKUP($I13,'[1]AL MD'!$C$3:$G$18,3,FALSE),"")</f>
        <v>Α.Ε.Κ. ΤΡΙΠΟΛΗΣ</v>
      </c>
      <c r="M13" s="40">
        <v>1</v>
      </c>
      <c r="N13" s="41" t="str">
        <f>UPPER(IF($A$2="R",IF(OR(M13=1,M13="a"),I13,IF(OR(M13=2,M13="b"),I14,"")),IF(OR(M13=1,M13="a"),K13,IF(OR(M13=2,M13="b"),K14,""))))</f>
        <v>ΠΑΠΑΗΛΙΙΟΥ</v>
      </c>
      <c r="O13" s="42"/>
      <c r="P13" s="43"/>
      <c r="R13" s="86" t="s">
        <v>13</v>
      </c>
    </row>
    <row r="14" spans="1:19" ht="12">
      <c r="A14" s="79">
        <v>10</v>
      </c>
      <c r="B14" s="46">
        <f>7-D14+4</f>
        <v>6</v>
      </c>
      <c r="C14" s="74">
        <f>IF([1]Setup!E2=3,4,3)</f>
        <v>3</v>
      </c>
      <c r="D14" s="48">
        <f t="shared" si="1"/>
        <v>5</v>
      </c>
      <c r="E14" s="49">
        <f>IF($B$2&gt;=C14,1,0)</f>
        <v>1</v>
      </c>
      <c r="F14" s="27" t="str">
        <f>IF(NOT($G14="-"),VLOOKUP($G14,'[1]AL MD'!$A$3:$G$18,2,FALSE),"")</f>
        <v/>
      </c>
      <c r="G14" s="27" t="str">
        <f>IF($B$2&gt;=C14,"-",VLOOKUP($B14,[1]Setup!$G$71:$H$86,2,FALSE))</f>
        <v>-</v>
      </c>
      <c r="H14" s="81">
        <f>IF($I14&gt;0,VLOOKUP($G14,'[1]AL MD'!$A$3:$G$18,6,FALSE),0)</f>
        <v>0</v>
      </c>
      <c r="I14" s="81">
        <f>IF([1]Setup!$B$25="#",0,IF(NOT($G14="-"),VLOOKUP($G14,'[1]AL MD'!$A$3:$G$18,3,FALSE),0))</f>
        <v>0</v>
      </c>
      <c r="J14" s="87" t="str">
        <f>IF($I14&gt;0,VLOOKUP($I14,'[1]AL MD'!$C$3:$G$18,2,FALSE),"bye")</f>
        <v>bye</v>
      </c>
      <c r="K14" s="43" t="str">
        <f t="shared" si="0"/>
        <v/>
      </c>
      <c r="L14" s="88" t="str">
        <f>IF($I14&gt;0,VLOOKUP($I14,'[1]AL MD'!$C$3:$G$18,3,FALSE),"")</f>
        <v/>
      </c>
      <c r="M14" s="55"/>
      <c r="N14" s="56"/>
      <c r="O14" s="40">
        <v>1</v>
      </c>
      <c r="P14" s="41" t="str">
        <f>UPPER(IF($A$2="R",IF(OR(O14=1,O14="a"),N13,IF(OR(O14=2,O14="b"),N15,"")),IF(OR(O14=1,O14="a"),N13,IF(OR(O14=2,O14="b"),N15,""))))</f>
        <v>ΠΑΠΑΗΛΙΙΟΥ</v>
      </c>
      <c r="Q14" s="42"/>
      <c r="R14" s="76"/>
    </row>
    <row r="15" spans="1:19" ht="12">
      <c r="A15" s="57">
        <v>11</v>
      </c>
      <c r="B15" s="46">
        <f>8-D15+4</f>
        <v>7</v>
      </c>
      <c r="C15" s="58"/>
      <c r="D15" s="48">
        <f t="shared" si="1"/>
        <v>5</v>
      </c>
      <c r="E15" s="59">
        <v>0</v>
      </c>
      <c r="F15" s="60">
        <f>IF(NOT($G15="-"),VLOOKUP($G15,'[1]AL MD'!$A$3:$G$18,2,FALSE),"")</f>
        <v>0</v>
      </c>
      <c r="G15" s="60">
        <f>VLOOKUP($B15,[1]Setup!$G$71:$H$86,2,FALSE)</f>
        <v>5</v>
      </c>
      <c r="H15" s="61">
        <f>IF($I15&gt;0,VLOOKUP($G15,'[1]AL MD'!$A$3:$G$18,6,FALSE),0)</f>
        <v>4</v>
      </c>
      <c r="I15" s="61">
        <f>IF([1]Setup!$B$25="#",0,IF($G15&gt;0,VLOOKUP($G15,'[1]AL MD'!$A$3:$G$18,3,FALSE),0))</f>
        <v>35121</v>
      </c>
      <c r="J15" s="62" t="str">
        <f>IF($I15&gt;0,VLOOKUP($I15,'[1]AL MD'!$C$3:$G$18,2,FALSE),"bye")</f>
        <v>ΠΑΠΑΔΕΑ ΔΗΜΗΤΡΑ</v>
      </c>
      <c r="K15" s="63" t="str">
        <f t="shared" si="0"/>
        <v>ΠΑΠΑΔΕΑ</v>
      </c>
      <c r="L15" s="64" t="str">
        <f>IF($I15&gt;0,VLOOKUP($I15,'[1]AL MD'!$C$3:$G$18,3,FALSE),"")</f>
        <v>Ο.Α. ΡΙΟΥ</v>
      </c>
      <c r="M15" s="40">
        <v>1</v>
      </c>
      <c r="N15" s="41" t="str">
        <f>UPPER(IF($A$2="R",IF(OR(M15=1,M15="a"),I15,IF(OR(M15=2,M15="b"),I16,"")),IF(OR(M15=1,M15="a"),K15,IF(OR(M15=2,M15="b"),K16,""))))</f>
        <v>ΠΑΠΑΔΕΑ</v>
      </c>
      <c r="O15" s="55"/>
      <c r="P15" s="56" t="s">
        <v>14</v>
      </c>
      <c r="Q15" s="42"/>
      <c r="R15" s="76"/>
    </row>
    <row r="16" spans="1:19" ht="12">
      <c r="A16" s="65">
        <v>12</v>
      </c>
      <c r="B16" s="46">
        <f>9-D16+4</f>
        <v>7</v>
      </c>
      <c r="C16" s="47">
        <v>6</v>
      </c>
      <c r="D16" s="48">
        <f t="shared" si="1"/>
        <v>6</v>
      </c>
      <c r="E16" s="49">
        <f>IF($B$2&gt;=C16,1,0)</f>
        <v>1</v>
      </c>
      <c r="F16" s="66" t="str">
        <f>IF(NOT($G16="-"),VLOOKUP($G16,'[1]AL MD'!$A$3:$G$18,2,FALSE),"")</f>
        <v/>
      </c>
      <c r="G16" s="66" t="str">
        <f>IF($B$2&gt;=C16,"-",VLOOKUP($B16,[1]Setup!$G$71:$H$86,2,FALSE))</f>
        <v>-</v>
      </c>
      <c r="H16" s="67">
        <f>IF($I16&gt;0,VLOOKUP($G16,'[1]AL MD'!$A$3:$G$18,6,FALSE),0)</f>
        <v>0</v>
      </c>
      <c r="I16" s="67">
        <f>IF([1]Setup!$B$25="#",0,IF(NOT($G16="-"),VLOOKUP($G16,'[1]AL MD'!$A$3:$G$18,3,FALSE),0))</f>
        <v>0</v>
      </c>
      <c r="J16" s="68" t="str">
        <f>IF($I16&gt;0,VLOOKUP($I16,'[1]AL MD'!$C$3:$G$18,2,FALSE),"bye")</f>
        <v>bye</v>
      </c>
      <c r="K16" s="53" t="str">
        <f t="shared" si="0"/>
        <v/>
      </c>
      <c r="L16" s="69" t="str">
        <f>IF($I16&gt;0,VLOOKUP($I16,'[1]AL MD'!$C$3:$G$18,3,FALSE),"")</f>
        <v/>
      </c>
      <c r="M16" s="89"/>
      <c r="N16" s="63"/>
      <c r="O16" s="42"/>
      <c r="P16" s="70"/>
      <c r="Q16" s="71">
        <v>2</v>
      </c>
      <c r="R16" s="90" t="str">
        <f>UPPER(IF($A$2="R",IF(OR(Q16=1,Q16="a"),P14,IF(OR(Q16=2,Q16="b"),P18,"")),IF(OR(Q16=1,Q16="a"),P14,IF(OR(Q16=2,Q16="b"),P18,""))))</f>
        <v>ΜΑΓΕΙΡΟΠΟΥΛΟΥ</v>
      </c>
      <c r="S16" s="75"/>
    </row>
    <row r="17" spans="1:19" ht="12">
      <c r="A17" s="79">
        <v>13</v>
      </c>
      <c r="B17" s="46">
        <f>10-D17+4</f>
        <v>8</v>
      </c>
      <c r="C17" s="58"/>
      <c r="D17" s="48">
        <f t="shared" si="1"/>
        <v>6</v>
      </c>
      <c r="E17" s="59">
        <v>0</v>
      </c>
      <c r="F17" s="27">
        <f>IF(NOT($G17="-"),VLOOKUP($G17,'[1]AL MD'!$A$3:$G$18,2,FALSE),"")</f>
        <v>0</v>
      </c>
      <c r="G17" s="27">
        <f>VLOOKUP($B17,[1]Setup!$G$71:$H$86,2,FALSE)</f>
        <v>8</v>
      </c>
      <c r="H17" s="81">
        <f>IF($I17&gt;0,VLOOKUP($G17,'[1]AL MD'!$A$3:$G$18,6,FALSE),0)</f>
        <v>0</v>
      </c>
      <c r="I17" s="81">
        <f>IF([1]Setup!$B$25="#",0,IF($G17&gt;0,VLOOKUP($G17,'[1]AL MD'!$A$3:$G$18,3,FALSE),0))</f>
        <v>33914</v>
      </c>
      <c r="J17" s="87" t="str">
        <f>IF($I17&gt;0,VLOOKUP($I17,'[1]AL MD'!$C$3:$G$18,2,FALSE),"bye")</f>
        <v>ΦΟΥΝΤΖΗΛΑ ΕΛΕΑΝΑ</v>
      </c>
      <c r="K17" s="43" t="str">
        <f t="shared" si="0"/>
        <v>ΦΟΥΝΤΖΗΛΑ</v>
      </c>
      <c r="L17" s="88" t="str">
        <f>IF($I17&gt;0,VLOOKUP($I17,'[1]AL MD'!$C$3:$G$18,3,FALSE),"")</f>
        <v>Ο.Α. ΝΑΥΠΑΚΤΟΥ</v>
      </c>
      <c r="M17" s="40">
        <v>1</v>
      </c>
      <c r="N17" s="41" t="str">
        <f>UPPER(IF($A$2="R",IF(OR(M17=1,M17="a"),I17,IF(OR(M17=2,M17="b"),I18,"")),IF(OR(M17=1,M17="a"),K17,IF(OR(M17=2,M17="b"),K18,""))))</f>
        <v>ΦΟΥΝΤΖΗΛΑ</v>
      </c>
      <c r="O17" s="42"/>
      <c r="P17" s="70"/>
      <c r="Q17" s="42"/>
      <c r="R17" s="27" t="s">
        <v>15</v>
      </c>
    </row>
    <row r="18" spans="1:19" ht="12">
      <c r="A18" s="79">
        <v>14</v>
      </c>
      <c r="B18" s="46">
        <f>11-D18+4</f>
        <v>9</v>
      </c>
      <c r="C18" s="47">
        <v>8</v>
      </c>
      <c r="D18" s="48">
        <f t="shared" si="1"/>
        <v>6</v>
      </c>
      <c r="E18" s="49">
        <f>IF($B$2&gt;=C18,1,0)</f>
        <v>0</v>
      </c>
      <c r="F18" s="27">
        <f>IF(NOT($G18="-"),VLOOKUP($G18,'[1]AL MD'!$A$3:$G$18,2,FALSE),"")</f>
        <v>0</v>
      </c>
      <c r="G18" s="27">
        <f>IF($B$2&gt;=C18,"-",VLOOKUP($B18,[1]Setup!$G$71:$H$86,2,FALSE))</f>
        <v>7</v>
      </c>
      <c r="H18" s="81">
        <f>IF($I18&gt;0,VLOOKUP($G18,'[1]AL MD'!$A$3:$G$18,6,FALSE),0)</f>
        <v>0</v>
      </c>
      <c r="I18" s="81">
        <f>IF([1]Setup!$B$25="#",0,IF(NOT($G18="-"),VLOOKUP($G18,'[1]AL MD'!$A$3:$G$18,3,FALSE),0))</f>
        <v>30717</v>
      </c>
      <c r="J18" s="87" t="str">
        <f>IF($I18&gt;0,VLOOKUP($I18,'[1]AL MD'!$C$3:$G$18,2,FALSE),"bye")</f>
        <v>ΤΡΙΑΝΤΟΥ ΕΥΓΕΝΙΑ</v>
      </c>
      <c r="K18" s="43" t="str">
        <f t="shared" si="0"/>
        <v>ΤΡΙΑΝΤΟΥ</v>
      </c>
      <c r="L18" s="88" t="str">
        <f>IF($I18&gt;0,VLOOKUP($I18,'[1]AL MD'!$C$3:$G$18,3,FALSE),"")</f>
        <v>Α.Ε.Τ. ΝΙΚΗ ΠΑΤΡΩΝ</v>
      </c>
      <c r="M18" s="55"/>
      <c r="N18" s="56" t="s">
        <v>16</v>
      </c>
      <c r="O18" s="40">
        <v>2</v>
      </c>
      <c r="P18" s="41" t="str">
        <f>UPPER(IF($A$2="R",IF(OR(O18=1,O18="a"),N17,IF(OR(O18=2,O18="b"),N19,"")),IF(OR(O18=1,O18="a"),N17,IF(OR(O18=2,O18="b"),N19,""))))</f>
        <v>ΜΑΓΕΙΡΟΠΟΥΛΟΥ</v>
      </c>
      <c r="Q18" s="75"/>
      <c r="R18" s="43"/>
    </row>
    <row r="19" spans="1:19" ht="12">
      <c r="A19" s="57">
        <v>15</v>
      </c>
      <c r="B19" s="46">
        <f>12-D19+4</f>
        <v>9</v>
      </c>
      <c r="C19" s="47">
        <v>2</v>
      </c>
      <c r="D19" s="48">
        <f t="shared" si="1"/>
        <v>7</v>
      </c>
      <c r="E19" s="49">
        <f>IF($B$2&gt;=C19,1,0)</f>
        <v>1</v>
      </c>
      <c r="F19" s="60" t="str">
        <f>IF(NOT($G19="-"),VLOOKUP($G19,'[1]AL MD'!$A$3:$G$18,2,FALSE),"")</f>
        <v/>
      </c>
      <c r="G19" s="60" t="str">
        <f>IF($B$2&gt;=C19,"-",VLOOKUP($B19,[1]Setup!$G$71:$H$86,2,FALSE))</f>
        <v>-</v>
      </c>
      <c r="H19" s="61">
        <f>IF($I19&gt;0,VLOOKUP($G19,'[1]AL MD'!$A$3:$G$18,6,FALSE),0)</f>
        <v>0</v>
      </c>
      <c r="I19" s="61">
        <f>IF([1]Setup!$B$25="#",0,IF(NOT($G19="-"),VLOOKUP($G19,'[1]AL MD'!$A$3:$G$18,3,FALSE),0))</f>
        <v>0</v>
      </c>
      <c r="J19" s="62" t="str">
        <f>IF($I19&gt;0,VLOOKUP($I19,'[1]AL MD'!$C$3:$G$18,2,FALSE),"bye")</f>
        <v>bye</v>
      </c>
      <c r="K19" s="63" t="str">
        <f t="shared" si="0"/>
        <v/>
      </c>
      <c r="L19" s="64" t="str">
        <f>IF($I19&gt;0,VLOOKUP($I19,'[1]AL MD'!$C$3:$G$18,3,FALSE),"")</f>
        <v/>
      </c>
      <c r="M19" s="40">
        <v>2</v>
      </c>
      <c r="N19" s="41" t="str">
        <f>UPPER(IF($A$2="R",IF(OR(M19=1,M19="a"),I19,IF(OR(M19=2,M19="b"),I20,"")),IF(OR(M19=1,M19="a"),K19,IF(OR(M19=2,M19="b"),K20,""))))</f>
        <v>ΜΑΓΕΙΡΟΠΟΥΛΟΥ</v>
      </c>
      <c r="O19" s="55"/>
      <c r="P19" s="63" t="s">
        <v>11</v>
      </c>
      <c r="Q19" s="42"/>
      <c r="R19" s="43"/>
    </row>
    <row r="20" spans="1:19" ht="12">
      <c r="A20" s="65">
        <v>16</v>
      </c>
      <c r="B20" s="29">
        <v>2</v>
      </c>
      <c r="C20" s="58"/>
      <c r="D20" s="48">
        <f t="shared" si="1"/>
        <v>7</v>
      </c>
      <c r="E20" s="59">
        <v>0</v>
      </c>
      <c r="F20" s="66" t="str">
        <f>IF(NOT($G20="-"),VLOOKUP($G20,'[1]AL MD'!$A$3:$G$18,2,FALSE),"")</f>
        <v xml:space="preserve">   </v>
      </c>
      <c r="G20" s="91">
        <f>VLOOKUP($B20,[1]Setup!$G$71:$H$86,2,FALSE)</f>
        <v>2</v>
      </c>
      <c r="H20" s="67">
        <f>IF($I20&gt;0,VLOOKUP($G20,'[1]AL MD'!$A$3:$G$18,6,FALSE),0)</f>
        <v>35</v>
      </c>
      <c r="I20" s="92">
        <f>IF([1]Setup!$B$25="#",0,IF($G20&gt;0,VLOOKUP($G20,'[1]AL MD'!$A$3:$G$18,3,FALSE),0))</f>
        <v>30561</v>
      </c>
      <c r="J20" s="93" t="str">
        <f>IF($I20&gt;0,VLOOKUP($I20,'[1]AL MD'!$C$3:$G$18,2,FALSE),"bye")</f>
        <v>ΜΑΓΕΙΡΟΠΟΥΛΟΥ ΜΑΡΙΛΙΑ</v>
      </c>
      <c r="K20" s="94" t="str">
        <f t="shared" si="0"/>
        <v>ΜΑΓΕΙΡΟΠΟΥΛΟΥ</v>
      </c>
      <c r="L20" s="95" t="str">
        <f>IF($I20&gt;0,VLOOKUP($I20,'[1]AL MD'!$C$3:$G$18,3,FALSE),"")</f>
        <v>Α.Ε.Τ. ΝΙΚΗ ΠΑΤΡΩΝ</v>
      </c>
      <c r="M20" s="55"/>
      <c r="N20" s="63"/>
      <c r="O20" s="42"/>
      <c r="P20" s="43"/>
      <c r="Q20" s="42"/>
      <c r="R20" s="43"/>
      <c r="S20" s="25"/>
    </row>
    <row r="21" spans="1:19">
      <c r="N21" s="97" t="s">
        <v>17</v>
      </c>
      <c r="P21" s="97" t="s">
        <v>17</v>
      </c>
      <c r="R21" s="97" t="s">
        <v>17</v>
      </c>
    </row>
    <row r="22" spans="1:19">
      <c r="G22" s="98"/>
      <c r="H22" s="98"/>
      <c r="P22" s="43"/>
    </row>
    <row r="23" spans="1:19">
      <c r="G23" s="27"/>
      <c r="H23" s="27"/>
      <c r="P23" s="99"/>
    </row>
    <row r="24" spans="1:19" s="100" customFormat="1" ht="9.75">
      <c r="C24" s="101"/>
      <c r="D24" s="102"/>
      <c r="E24" s="102"/>
      <c r="G24" s="101"/>
      <c r="H24" s="101"/>
      <c r="I24" s="102"/>
      <c r="J24" s="103" t="s">
        <v>18</v>
      </c>
      <c r="K24" s="104"/>
      <c r="M24" s="105"/>
      <c r="O24" s="106"/>
      <c r="Q24" s="106"/>
      <c r="R24" s="107"/>
      <c r="S24" s="108"/>
    </row>
    <row r="25" spans="1:19" s="100" customFormat="1" ht="9.75">
      <c r="C25" s="101"/>
      <c r="D25" s="102"/>
      <c r="E25" s="102"/>
      <c r="G25" s="101"/>
      <c r="H25" s="101"/>
      <c r="I25" s="102"/>
      <c r="J25" s="109" t="str">
        <f>"1. " &amp; IF([1]Setup!B78&gt;0,LEFT('[1]AL MD'!D3,FIND(" ",'[1]AL MD'!D3)+1),"")</f>
        <v>1. ΑΝΔΡΙΟΠΟΥΛΟΥ Α</v>
      </c>
      <c r="K25" s="107"/>
      <c r="M25" s="110"/>
      <c r="N25" s="110"/>
      <c r="O25" s="106"/>
      <c r="Q25" s="106"/>
      <c r="R25" s="107"/>
      <c r="S25" s="108"/>
    </row>
    <row r="26" spans="1:19" s="100" customFormat="1" ht="9.75">
      <c r="C26" s="101"/>
      <c r="D26" s="102"/>
      <c r="E26" s="102"/>
      <c r="G26" s="101"/>
      <c r="H26" s="101"/>
      <c r="I26" s="102"/>
      <c r="J26" s="109" t="str">
        <f>"2. " &amp; IF([1]Setup!B78&gt;1,LEFT('[1]AL MD'!D4,FIND(" ",'[1]AL MD'!D4)+1),"")</f>
        <v>2. ΜΑΓΕΙΡΟΠΟΥΛΟΥ Μ</v>
      </c>
      <c r="K26" s="107"/>
      <c r="M26" s="105"/>
      <c r="O26" s="106"/>
      <c r="Q26" s="106"/>
      <c r="R26" s="111" t="s">
        <v>19</v>
      </c>
      <c r="S26" s="108"/>
    </row>
    <row r="27" spans="1:19" s="100" customFormat="1" ht="9.75">
      <c r="C27" s="101"/>
      <c r="D27" s="102"/>
      <c r="E27" s="102"/>
      <c r="G27" s="101"/>
      <c r="H27" s="101"/>
      <c r="I27" s="102"/>
      <c r="J27" s="109" t="str">
        <f>"3. " &amp; IF([1]Setup!B78&gt;2,LEFT('[1]AL MD'!D5,FIND(" ",'[1]AL MD'!D5)+1),"")</f>
        <v>3. ΜΠΑΖΟΥ Α</v>
      </c>
      <c r="K27" s="107"/>
      <c r="M27" s="105"/>
      <c r="O27" s="106"/>
      <c r="Q27" s="106"/>
      <c r="R27" s="112" t="str">
        <f>[1]Setup!$B$10</f>
        <v>Σταματελάτος Σταμάτιος</v>
      </c>
      <c r="S27" s="112"/>
    </row>
    <row r="28" spans="1:19" s="100" customFormat="1" ht="9.75">
      <c r="C28" s="101"/>
      <c r="D28" s="102"/>
      <c r="E28" s="102"/>
      <c r="G28" s="101"/>
      <c r="H28" s="101"/>
      <c r="I28" s="102"/>
      <c r="J28" s="109" t="str">
        <f>"4. " &amp; IF([1]Setup!B78&gt;3,LEFT('[1]AL MD'!D6,FIND(" ",'[1]AL MD'!D6)+1),"")</f>
        <v>4. ΠΑΠΑΗΛΙΙΟΥ Β</v>
      </c>
      <c r="K28" s="107"/>
      <c r="M28" s="105"/>
      <c r="O28" s="106"/>
      <c r="Q28" s="106"/>
      <c r="R28" s="107"/>
      <c r="S28" s="108"/>
    </row>
    <row r="33" spans="3:19">
      <c r="C33" s="9"/>
      <c r="D33" s="9"/>
      <c r="E33" s="9"/>
      <c r="G33" s="9"/>
      <c r="H33" s="9"/>
      <c r="I33" s="9"/>
      <c r="M33" s="9"/>
      <c r="O33" s="9"/>
      <c r="Q33" s="9"/>
      <c r="R33" s="9"/>
      <c r="S33" s="9"/>
    </row>
    <row r="34" spans="3:19">
      <c r="C34" s="9"/>
      <c r="D34" s="9"/>
      <c r="E34" s="9"/>
      <c r="G34" s="9"/>
      <c r="H34" s="9"/>
      <c r="I34" s="9"/>
      <c r="M34" s="9"/>
      <c r="O34" s="9"/>
      <c r="Q34" s="9"/>
      <c r="R34" s="9"/>
      <c r="S34" s="9"/>
    </row>
    <row r="35" spans="3:19">
      <c r="C35" s="9"/>
      <c r="D35" s="9"/>
      <c r="E35" s="9"/>
      <c r="G35" s="9"/>
      <c r="H35" s="9"/>
      <c r="I35" s="9"/>
      <c r="M35" s="9"/>
      <c r="O35" s="9"/>
      <c r="Q35" s="9"/>
      <c r="R35" s="9"/>
      <c r="S35" s="9"/>
    </row>
    <row r="36" spans="3:19">
      <c r="C36" s="9"/>
      <c r="D36" s="9"/>
      <c r="E36" s="9"/>
      <c r="G36" s="9"/>
      <c r="H36" s="9"/>
      <c r="I36" s="9"/>
      <c r="M36" s="9"/>
      <c r="O36" s="9"/>
      <c r="Q36" s="9"/>
      <c r="R36" s="9"/>
      <c r="S36" s="9"/>
    </row>
    <row r="37" spans="3:19">
      <c r="C37" s="9"/>
      <c r="D37" s="9"/>
      <c r="E37" s="9"/>
      <c r="G37" s="9"/>
      <c r="H37" s="9"/>
      <c r="I37" s="9"/>
      <c r="M37" s="9"/>
      <c r="O37" s="9"/>
      <c r="Q37" s="9"/>
      <c r="R37" s="9"/>
      <c r="S37" s="9"/>
    </row>
    <row r="38" spans="3:19">
      <c r="C38" s="9"/>
      <c r="D38" s="9"/>
      <c r="E38" s="9"/>
      <c r="G38" s="9"/>
      <c r="H38" s="9"/>
      <c r="I38" s="9"/>
      <c r="M38" s="9"/>
      <c r="O38" s="9"/>
      <c r="Q38" s="9"/>
      <c r="R38" s="9"/>
      <c r="S38" s="9"/>
    </row>
    <row r="39" spans="3:19">
      <c r="C39" s="9"/>
      <c r="D39" s="9"/>
      <c r="E39" s="9"/>
      <c r="G39" s="9"/>
      <c r="H39" s="9"/>
      <c r="I39" s="9"/>
      <c r="J39" s="113"/>
      <c r="M39" s="9"/>
      <c r="O39" s="9"/>
      <c r="Q39" s="9"/>
      <c r="R39" s="9"/>
      <c r="S39" s="9"/>
    </row>
    <row r="40" spans="3:19">
      <c r="C40" s="9"/>
      <c r="D40" s="9"/>
      <c r="E40" s="9"/>
      <c r="G40" s="9"/>
      <c r="H40" s="9"/>
      <c r="I40" s="9"/>
      <c r="J40" s="114" t="s">
        <v>20</v>
      </c>
      <c r="M40" s="9"/>
      <c r="O40" s="9"/>
      <c r="Q40" s="9"/>
      <c r="R40" s="9"/>
      <c r="S40" s="9"/>
    </row>
    <row r="41" spans="3:19">
      <c r="C41" s="9"/>
      <c r="D41" s="9"/>
      <c r="E41" s="9"/>
      <c r="G41" s="9"/>
      <c r="H41" s="9"/>
      <c r="I41" s="9"/>
      <c r="J41" s="115" t="e">
        <f>IF([1]Setup!$B$19&gt;0,LEFT(AL [1]MD!D3,FIND(" ",AL [1]MD!D3)-1))</f>
        <v>#NAME?</v>
      </c>
      <c r="M41" s="9"/>
      <c r="O41" s="9"/>
      <c r="Q41" s="9"/>
      <c r="R41" s="9"/>
      <c r="S41" s="9"/>
    </row>
    <row r="42" spans="3:19">
      <c r="C42" s="9"/>
      <c r="D42" s="9"/>
      <c r="E42" s="9"/>
      <c r="G42" s="9"/>
      <c r="H42" s="9"/>
      <c r="I42" s="9"/>
      <c r="J42" s="115" t="e">
        <f>IF([1]Setup!$B$19&gt;1,LEFT(AL [1]MD!D4,FIND(" ",AL [1]MD!D4)-1))</f>
        <v>#NAME?</v>
      </c>
      <c r="M42" s="9"/>
      <c r="O42" s="9"/>
      <c r="Q42" s="9"/>
      <c r="R42" s="9"/>
      <c r="S42" s="9"/>
    </row>
    <row r="43" spans="3:19" ht="10.15" hidden="1" customHeight="1">
      <c r="C43" s="9"/>
      <c r="D43" s="9"/>
      <c r="E43" s="9"/>
      <c r="G43" s="9"/>
      <c r="H43" s="9"/>
      <c r="I43" s="9"/>
      <c r="J43" s="115" t="e">
        <f>IF([1]Setup!$B$19&gt;2,LEFT(AL [1]MD!D5,FIND(" ",AL [1]MD!D5)-1))</f>
        <v>#NAME?</v>
      </c>
      <c r="M43" s="9"/>
      <c r="O43" s="9"/>
      <c r="Q43" s="9"/>
      <c r="R43" s="9"/>
      <c r="S43" s="9"/>
    </row>
    <row r="44" spans="3:19" ht="10.15" hidden="1" customHeight="1">
      <c r="C44" s="9"/>
      <c r="D44" s="9"/>
      <c r="E44" s="9"/>
      <c r="G44" s="9"/>
      <c r="H44" s="9"/>
      <c r="I44" s="9"/>
      <c r="J44" s="115" t="e">
        <f>IF([1]Setup!$B$19&gt;3,LEFT(AL [1]MD!D6,FIND(" ",AL [1]MD!D6)-1))</f>
        <v>#NAME?</v>
      </c>
      <c r="M44" s="9"/>
      <c r="O44" s="9"/>
      <c r="Q44" s="9"/>
      <c r="R44" s="9"/>
      <c r="S44" s="9"/>
    </row>
    <row r="45" spans="3:19" ht="10.15" hidden="1" customHeight="1">
      <c r="C45" s="9"/>
      <c r="D45" s="9"/>
      <c r="E45" s="9"/>
      <c r="G45" s="9"/>
      <c r="H45" s="9"/>
      <c r="I45" s="9"/>
      <c r="J45" s="116"/>
      <c r="M45" s="9"/>
      <c r="O45" s="9"/>
      <c r="Q45" s="9"/>
      <c r="R45" s="9"/>
      <c r="S45" s="9"/>
    </row>
    <row r="46" spans="3:19" ht="10.15" hidden="1" customHeight="1">
      <c r="C46" s="9"/>
      <c r="D46" s="9"/>
      <c r="E46" s="9"/>
      <c r="G46" s="9"/>
      <c r="H46" s="9"/>
      <c r="I46" s="9"/>
      <c r="J46" s="117"/>
      <c r="M46" s="9"/>
      <c r="O46" s="9"/>
      <c r="Q46" s="9"/>
      <c r="R46" s="9"/>
      <c r="S46" s="9"/>
    </row>
    <row r="47" spans="3:19" ht="10.15" hidden="1" customHeight="1">
      <c r="C47" s="9"/>
      <c r="D47" s="9"/>
      <c r="E47" s="9"/>
      <c r="G47" s="9"/>
      <c r="H47" s="9"/>
      <c r="I47" s="9"/>
      <c r="J47" s="117"/>
      <c r="M47" s="9"/>
      <c r="O47" s="9"/>
      <c r="Q47" s="9"/>
      <c r="R47" s="9"/>
      <c r="S47" s="9"/>
    </row>
    <row r="48" spans="3:19" ht="12">
      <c r="C48" s="9"/>
      <c r="D48" s="9"/>
      <c r="E48" s="9"/>
      <c r="G48" s="9"/>
      <c r="H48" s="9"/>
      <c r="I48" s="9"/>
      <c r="J48" s="117"/>
      <c r="M48" s="9"/>
      <c r="O48" s="9"/>
      <c r="Q48" s="9"/>
      <c r="R48" s="9"/>
      <c r="S48" s="9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2014-03-30T13:10:23Z</dcterms:created>
  <dcterms:modified xsi:type="dcterms:W3CDTF">2014-03-30T13:10:42Z</dcterms:modified>
</cp:coreProperties>
</file>