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17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<sst xmlns="http://schemas.openxmlformats.org/spreadsheetml/2006/main" count="16" uniqueCount="16">
  <si>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</si>
  <si>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</si>
  <si>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</si>
  <si>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</si>
  <si>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</si>
  <si>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</si>
  <si>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</si>
  <si>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</si>
  <si>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</si>
  <si>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>seeded players</t>
  </si>
  <si>
    <t>επιδιαιτητής</t>
  </si>
  <si>
    <t>BoldPlayers</t>
  </si>
  <si>
    <t>6-3 6-4</t>
  </si>
  <si>
    <t>6-3 6-1</t>
  </si>
  <si>
    <t>5-7 6-2 6-1</t>
  </si>
  <si>
    <t>4-6 6-4 6-4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</si>
</sst>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 val="single"/>
      <sz val="7"/>
      <name val="Arial"/>
      <family val="2"/>
    </font>
    <font>
      <i/>
      <u val="single"/>
      <sz val="7"/>
      <name val="Arial"/>
      <family val="2"/>
    </font>
    <font>
      <i/>
      <sz val="7"/>
      <color indexed="55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i/>
      <u val="single"/>
      <sz val="7"/>
      <color indexed="55"/>
      <name val="Arial"/>
      <family val="2"/>
    </font>
    <font>
      <i/>
      <sz val="7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left" vertical="center"/>
      <protection locked="0"/>
    </xf>
    <xf numFmtId="0" fontId="14" fillId="34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4" fillId="3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 quotePrefix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 quotePrefix="1">
      <alignment vertical="center"/>
      <protection locked="0"/>
    </xf>
    <xf numFmtId="0" fontId="26" fillId="0" borderId="0" xfId="0" applyNumberFormat="1" applyFont="1" applyFill="1" applyBorder="1" applyAlignment="1" applyProtection="1" quotePrefix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29;&#959;&#965;&#955;&#945;\&#932;&#945;%20&#941;&#947;&#947;&#961;&#945;&#966;&#940;%20&#956;&#959;&#965;\Downloads\&#913;&#915;&#927;&#929;&#921;&#913;%2012%20&#928;&#929;&#927;&#922;&#929;&#921;&#924;&#913;&#932;&#921;&#922;&#91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ables"/>
      <sheetName val="tmp"/>
    </sheetNames>
    <sheetDataSet>
      <sheetData sheetId="0">
        <row r="3">
          <cell r="B3" t="str">
            <v>ΕΦΟΑ</v>
          </cell>
        </row>
        <row r="4">
          <cell r="B4" t="str">
            <v>1ο Ε2 2015</v>
          </cell>
          <cell r="G4">
            <v>0</v>
          </cell>
        </row>
        <row r="5">
          <cell r="B5" t="str">
            <v>e2-12</v>
          </cell>
          <cell r="G5">
            <v>0</v>
          </cell>
        </row>
        <row r="6">
          <cell r="G6">
            <v>0</v>
          </cell>
        </row>
        <row r="7">
          <cell r="B7" t="str">
            <v>Α12</v>
          </cell>
          <cell r="G7">
            <v>0</v>
          </cell>
        </row>
        <row r="8">
          <cell r="B8" t="str">
            <v>6</v>
          </cell>
          <cell r="G8">
            <v>11</v>
          </cell>
        </row>
        <row r="9">
          <cell r="B9" t="str">
            <v>8 Μαρτίου</v>
          </cell>
          <cell r="G9">
            <v>10</v>
          </cell>
        </row>
        <row r="10">
          <cell r="G10">
            <v>12</v>
          </cell>
        </row>
        <row r="11">
          <cell r="G11">
            <v>9</v>
          </cell>
        </row>
        <row r="15">
          <cell r="B15">
            <v>20</v>
          </cell>
          <cell r="H15">
            <v>0</v>
          </cell>
          <cell r="I15">
            <v>0</v>
          </cell>
        </row>
        <row r="16">
          <cell r="B16">
            <v>8</v>
          </cell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B23" t="str">
            <v>ok</v>
          </cell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1">
        <row r="3">
          <cell r="A3">
            <v>1</v>
          </cell>
          <cell r="C3">
            <v>34913</v>
          </cell>
          <cell r="D3" t="str">
            <v>ΤΣΕΚΟΥΡΑΣ ΠΑΝΑΓΙΩΤΗΣ</v>
          </cell>
          <cell r="E3" t="str">
            <v>ΠΕΥΚΗ Γ.ΚΑΛΟΒΕΛΩΝΗΣ</v>
          </cell>
          <cell r="F3">
            <v>2.009155309609441</v>
          </cell>
        </row>
        <row r="4">
          <cell r="A4">
            <v>2</v>
          </cell>
          <cell r="C4">
            <v>35922</v>
          </cell>
          <cell r="D4" t="str">
            <v>ΜΠΑΜΙΑΣ ΒΑΣΙΛΕΙΟΣ</v>
          </cell>
          <cell r="E4" t="str">
            <v>Ο.Α.ΧΑΛΚΙΔΑΣ</v>
          </cell>
          <cell r="F4">
            <v>1.508299018852391</v>
          </cell>
        </row>
        <row r="5">
          <cell r="A5">
            <v>3</v>
          </cell>
          <cell r="C5">
            <v>35927</v>
          </cell>
          <cell r="D5" t="str">
            <v>ΤΣΙΧΛΗΣ ΒΑΣΙΛΕΙΟΣ</v>
          </cell>
          <cell r="E5" t="str">
            <v>Ο.Α.ΧΑΛΚΙΔΑΣ</v>
          </cell>
          <cell r="F5">
            <v>1.0375877698138063</v>
          </cell>
        </row>
        <row r="6">
          <cell r="A6">
            <v>4</v>
          </cell>
          <cell r="C6">
            <v>32887</v>
          </cell>
          <cell r="D6" t="str">
            <v>ΠΑΣΤΡΑΣ ΑΝΑΣΤΑΣΙΟΣ</v>
          </cell>
          <cell r="E6" t="str">
            <v>Ο.Α.ΚΑΛΑΜΑΤΑΣ</v>
          </cell>
          <cell r="F6">
            <v>1.004099370235106</v>
          </cell>
        </row>
        <row r="7">
          <cell r="A7">
            <v>5</v>
          </cell>
          <cell r="C7">
            <v>30151</v>
          </cell>
          <cell r="D7" t="str">
            <v>ΚΑΡΑΝΑΓΝΩΣΤΗΣ ΚΩΝΣΤΑΝΤΙΝΟΣ</v>
          </cell>
          <cell r="E7" t="str">
            <v>Α.Ε.Κ.ΤΡΙΠΟΛΗΣ</v>
          </cell>
          <cell r="F7">
            <v>1.004970987408854</v>
          </cell>
        </row>
        <row r="8">
          <cell r="A8">
            <v>6</v>
          </cell>
          <cell r="C8">
            <v>33352</v>
          </cell>
          <cell r="D8" t="str">
            <v>ΝΑΣΙΑΚΟΣ ΓΕΩΡΓΙΟΣ</v>
          </cell>
          <cell r="E8" t="str">
            <v>Α.Ε.Κ.ΤΡΙΠΟΛΗΣ</v>
          </cell>
          <cell r="F8">
            <v>0.013172582048117608</v>
          </cell>
        </row>
        <row r="9">
          <cell r="A9">
            <v>7</v>
          </cell>
          <cell r="C9">
            <v>36105</v>
          </cell>
          <cell r="D9" t="str">
            <v>ΣΠΥΡΑΚΗΣ ΓΕΩΡΓΙΟΣ</v>
          </cell>
          <cell r="E9" t="str">
            <v>ΡΗΓΑΣ Α.Ο.Α.ΑΡΓΟΛΙΔΑΣ</v>
          </cell>
          <cell r="F9">
            <v>0</v>
          </cell>
        </row>
        <row r="10">
          <cell r="A10">
            <v>8</v>
          </cell>
          <cell r="C10">
            <v>37051</v>
          </cell>
          <cell r="D10" t="str">
            <v>ΤΣΟΥΚΛΕΡΗΣ ΓΕΩΡΓΙΟΣ</v>
          </cell>
          <cell r="E10" t="str">
            <v>Ο.Α.ΚΑΛΑΜΑΤΑΣ</v>
          </cell>
          <cell r="F10">
            <v>0</v>
          </cell>
        </row>
        <row r="11">
          <cell r="A11">
            <v>9</v>
          </cell>
          <cell r="C11">
            <v>37054</v>
          </cell>
          <cell r="D11" t="str">
            <v>ΠΑΠΑΝΙΚΟΛΑΟΥ ΝΤΥΛΑΝ-ΙΑΣΩΝ</v>
          </cell>
          <cell r="E11" t="str">
            <v>Ο.Α.ΚΑΛΑΜΑΤΑΣ</v>
          </cell>
          <cell r="F11">
            <v>0</v>
          </cell>
        </row>
        <row r="12">
          <cell r="A12">
            <v>10</v>
          </cell>
          <cell r="C12">
            <v>33857</v>
          </cell>
          <cell r="D12" t="str">
            <v>ΔΑΡΙΒΑΚΗΣ-ΚΑΤΕΜΠ ΓΙΩΡΓΟΣ</v>
          </cell>
          <cell r="E12" t="str">
            <v>Α.Ο.Α.ΑΙΓΑΛΕΩ 92</v>
          </cell>
          <cell r="F12">
            <v>0</v>
          </cell>
        </row>
        <row r="13">
          <cell r="A13">
            <v>11</v>
          </cell>
          <cell r="C13">
            <v>36261</v>
          </cell>
          <cell r="D13" t="str">
            <v>ΠΑΠΑΔΗΜΗΤΡΟΠΟΥΛΟΣ ΑΝΔΡΕΑΣ</v>
          </cell>
          <cell r="E13" t="str">
            <v>Ο.Α.ΑΙΓΙΑΛΕΙΑΣ</v>
          </cell>
          <cell r="F13">
            <v>0</v>
          </cell>
        </row>
        <row r="14">
          <cell r="A14">
            <v>12</v>
          </cell>
          <cell r="C14">
            <v>32646</v>
          </cell>
          <cell r="D14" t="str">
            <v>ΦΩΤΕΙΝΟΠΟΥΛΟΣ ΦΩΤΙΟΣ</v>
          </cell>
          <cell r="E14" t="str">
            <v>Σ.Α.ΜΕΣΣΗΝΗΣ</v>
          </cell>
          <cell r="F14">
            <v>0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  <cell r="D20" t="str">
            <v/>
          </cell>
        </row>
        <row r="21">
          <cell r="A21">
            <v>19</v>
          </cell>
          <cell r="D21" t="str">
            <v/>
          </cell>
        </row>
        <row r="22">
          <cell r="A22">
            <v>20</v>
          </cell>
          <cell r="D22" t="str">
            <v/>
          </cell>
        </row>
        <row r="23">
          <cell r="A23">
            <v>21</v>
          </cell>
          <cell r="D23" t="str">
            <v/>
          </cell>
        </row>
        <row r="24">
          <cell r="A24">
            <v>22</v>
          </cell>
          <cell r="D24" t="str">
            <v/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11">
        <row r="3">
          <cell r="J3" t="str">
            <v>E1-12</v>
          </cell>
          <cell r="K3">
            <v>1.5</v>
          </cell>
          <cell r="L3">
            <v>2</v>
          </cell>
          <cell r="M3">
            <v>2</v>
          </cell>
          <cell r="N3">
            <v>0</v>
          </cell>
          <cell r="O3">
            <v>0</v>
          </cell>
          <cell r="P3">
            <v>0</v>
          </cell>
        </row>
        <row r="4">
          <cell r="J4" t="str">
            <v>E1-14</v>
          </cell>
          <cell r="K4">
            <v>3</v>
          </cell>
          <cell r="L4">
            <v>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</row>
        <row r="5">
          <cell r="J5" t="str">
            <v>E1-16</v>
          </cell>
          <cell r="K5">
            <v>6</v>
          </cell>
          <cell r="L5">
            <v>8</v>
          </cell>
          <cell r="M5">
            <v>8</v>
          </cell>
          <cell r="N5">
            <v>0</v>
          </cell>
          <cell r="O5">
            <v>0</v>
          </cell>
          <cell r="P5">
            <v>0</v>
          </cell>
        </row>
        <row r="6">
          <cell r="J6" t="str">
            <v>E1-18</v>
          </cell>
          <cell r="K6">
            <v>7.5</v>
          </cell>
          <cell r="L6">
            <v>10</v>
          </cell>
          <cell r="M6">
            <v>10</v>
          </cell>
          <cell r="N6">
            <v>0</v>
          </cell>
          <cell r="O6">
            <v>0</v>
          </cell>
          <cell r="P6">
            <v>0</v>
          </cell>
        </row>
        <row r="7">
          <cell r="J7" t="str">
            <v>E2-12</v>
          </cell>
          <cell r="K7">
            <v>0.5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</row>
        <row r="8">
          <cell r="J8" t="str">
            <v>E2-14</v>
          </cell>
          <cell r="K8">
            <v>1</v>
          </cell>
          <cell r="L8">
            <v>2</v>
          </cell>
          <cell r="M8">
            <v>2</v>
          </cell>
          <cell r="N8">
            <v>0</v>
          </cell>
          <cell r="O8">
            <v>0</v>
          </cell>
          <cell r="P8">
            <v>0</v>
          </cell>
        </row>
        <row r="9">
          <cell r="J9" t="str">
            <v>E2-16</v>
          </cell>
          <cell r="K9">
            <v>2</v>
          </cell>
          <cell r="L9">
            <v>4</v>
          </cell>
          <cell r="M9">
            <v>4</v>
          </cell>
          <cell r="N9">
            <v>0</v>
          </cell>
          <cell r="O9">
            <v>0</v>
          </cell>
          <cell r="P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N40" sqref="N40:P40"/>
    </sheetView>
  </sheetViews>
  <sheetFormatPr defaultColWidth="2.421875" defaultRowHeight="15"/>
  <cols>
    <col min="1" max="1" width="2.421875" style="21" bestFit="1" customWidth="1"/>
    <col min="2" max="2" width="2.28125" style="57" hidden="1" customWidth="1"/>
    <col min="3" max="3" width="5.8515625" style="57" hidden="1" customWidth="1"/>
    <col min="4" max="4" width="5.28125" style="57" hidden="1" customWidth="1"/>
    <col min="5" max="5" width="4.57421875" style="57" hidden="1" customWidth="1"/>
    <col min="6" max="6" width="3.421875" style="21" bestFit="1" customWidth="1"/>
    <col min="7" max="7" width="4.7109375" style="58" bestFit="1" customWidth="1"/>
    <col min="8" max="8" width="33.00390625" style="57" bestFit="1" customWidth="1"/>
    <col min="9" max="9" width="17.8515625" style="64" hidden="1" customWidth="1"/>
    <col min="10" max="10" width="21.28125" style="9" bestFit="1" customWidth="1"/>
    <col min="11" max="11" width="1.421875" style="22" bestFit="1" customWidth="1"/>
    <col min="12" max="12" width="20.7109375" style="9" customWidth="1"/>
    <col min="13" max="13" width="1.421875" style="54" bestFit="1" customWidth="1"/>
    <col min="14" max="14" width="20.7109375" style="9" customWidth="1"/>
    <col min="15" max="255" width="8.8515625" style="9" customWidth="1"/>
    <col min="256" max="16384" width="2.421875" style="9" customWidth="1"/>
  </cols>
  <sheetData>
    <row r="1" spans="1:17" s="4" customFormat="1" ht="20.25">
      <c r="A1" s="69" t="str">
        <f>'[1]Setup'!B3&amp;", "&amp;'[1]Setup'!B4&amp;", "&amp;'[1]Setup'!B6&amp;", "&amp;'[1]Setup'!B8&amp;"-"&amp;'[1]Setup'!B9</f>
        <v>ΕΦΟΑ, 1ο Ε2 2015, , 6-8 Μαρτίου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2" t="str">
        <f>'[1]Setup'!$B$7</f>
        <v>Α12</v>
      </c>
      <c r="O1" s="3"/>
      <c r="P1" s="3"/>
      <c r="Q1" s="3"/>
    </row>
    <row r="2" spans="1:14" ht="11.25">
      <c r="A2" s="5"/>
      <c r="B2" s="6">
        <f>'[1]Setup'!B15</f>
        <v>20</v>
      </c>
      <c r="C2" s="6"/>
      <c r="D2" s="6"/>
      <c r="E2" s="6"/>
      <c r="F2" s="7"/>
      <c r="G2" s="7" t="str">
        <f>"p"&amp;VLOOKUP('[1]Setup'!$B$5,'[1]tables'!$J$3:$P$9,2,FALSE)</f>
        <v>p0,5</v>
      </c>
      <c r="H2" s="8"/>
      <c r="I2" s="8"/>
      <c r="J2" s="8"/>
      <c r="K2" s="7"/>
      <c r="L2" s="7" t="str">
        <f>"p"&amp;VLOOKUP('[1]Setup'!$B$5,'[1]tables'!$J$3:$P$9,3,FALSE)</f>
        <v>p1</v>
      </c>
      <c r="M2" s="8"/>
      <c r="N2" s="7" t="str">
        <f>"p"&amp;VLOOKUP('[1]Setup'!$B$5,'[1]tables'!$J$3:$P$9,4,FALSE)</f>
        <v>p1</v>
      </c>
    </row>
    <row r="3" spans="1:14" ht="11.25">
      <c r="A3" s="10"/>
      <c r="B3" s="11"/>
      <c r="C3" s="11"/>
      <c r="D3" s="11"/>
      <c r="E3" s="11"/>
      <c r="F3" s="10"/>
      <c r="G3" s="12"/>
      <c r="H3" s="70">
        <v>32</v>
      </c>
      <c r="I3" s="70"/>
      <c r="J3" s="70"/>
      <c r="K3" s="13"/>
      <c r="L3" s="14">
        <v>16</v>
      </c>
      <c r="M3" s="13"/>
      <c r="N3" s="14">
        <v>8</v>
      </c>
    </row>
    <row r="4" spans="1:13" s="21" customFormat="1" ht="11.25">
      <c r="A4" s="15" t="s">
        <v>0</v>
      </c>
      <c r="B4" s="16"/>
      <c r="C4" s="17" t="s">
        <v>1</v>
      </c>
      <c r="D4" s="17" t="s">
        <v>2</v>
      </c>
      <c r="E4" s="17" t="s">
        <v>3</v>
      </c>
      <c r="F4" s="15" t="s">
        <v>4</v>
      </c>
      <c r="G4" s="15" t="s">
        <v>5</v>
      </c>
      <c r="H4" s="18" t="s">
        <v>6</v>
      </c>
      <c r="I4" s="19" t="s">
        <v>7</v>
      </c>
      <c r="J4" s="18" t="s">
        <v>8</v>
      </c>
      <c r="K4" s="20"/>
      <c r="M4" s="22"/>
    </row>
    <row r="5" spans="1:14" ht="9.75" customHeight="1">
      <c r="A5" s="23">
        <v>1</v>
      </c>
      <c r="B5" s="24"/>
      <c r="C5" s="25"/>
      <c r="D5" s="24"/>
      <c r="E5" s="24">
        <v>0</v>
      </c>
      <c r="F5" s="26">
        <v>1</v>
      </c>
      <c r="G5" s="26">
        <f>IF('[1]Setup'!$B$23="#",0,IF(F5&gt;0,VLOOKUP(F5,'[1]AL QD'!$A$3:$H$34,3,FALSE),0))</f>
        <v>34913</v>
      </c>
      <c r="H5" s="27" t="str">
        <f>IF($G5&gt;0,VLOOKUP(G5,'[1]AL QD'!$C$3:$H$34,2,FALSE),0)</f>
        <v>ΤΣΕΚΟΥΡΑΣ ΠΑΝΑΓΙΩΤΗΣ</v>
      </c>
      <c r="I5" s="28" t="str">
        <f>IF(NOT(G5&gt;0),"",IF(ISERROR(FIND("-",H5)),LEFT(H5,FIND(" ",H5)-1),IF(FIND("-",H5)&gt;FIND(" ",H5),LEFT(H5,FIND(" ",H5)-1),LEFT(H5,FIND("-",H5)-1))))</f>
        <v>ΤΣΕΚΟΥΡΑΣ</v>
      </c>
      <c r="J5" s="29" t="str">
        <f>IF($G5&gt;0,VLOOKUP($G5,'[1]AL QD'!$C$3:$E$34,3,FALSE),"")</f>
        <v>ΠΕΥΚΗ Γ.ΚΑΛΟΒΕΛΩΝΗΣ</v>
      </c>
      <c r="K5" s="30">
        <v>1</v>
      </c>
      <c r="L5" s="31" t="str">
        <f>UPPER(IF($A$2="R",IF(OR(K5=1,K5="a"),G5,IF(OR(K5=2,K5="b"),G6,"")),IF(OR(K5=1,K5="1"),I5,IF(OR(K5=2,K5="b"),I6,""))))</f>
        <v>ΤΣΕΚΟΥΡΑΣ</v>
      </c>
      <c r="M5" s="32"/>
      <c r="N5" s="33"/>
    </row>
    <row r="6" spans="1:14" ht="9.75" customHeight="1">
      <c r="A6" s="34">
        <v>2</v>
      </c>
      <c r="B6" s="35">
        <f>IF(E6=0,17-D6,0)</f>
        <v>0</v>
      </c>
      <c r="C6" s="36">
        <v>1</v>
      </c>
      <c r="D6" s="35">
        <f>E6</f>
        <v>1</v>
      </c>
      <c r="E6" s="35">
        <f>IF($B$2&gt;=C6,1,0)</f>
        <v>1</v>
      </c>
      <c r="F6" s="34" t="str">
        <f>IF($B$2&gt;=C6,"-",VLOOKUP($B6,'[1]Setup'!$H$15:$I$30,2,FALSE))</f>
        <v>-</v>
      </c>
      <c r="G6" s="34">
        <f>IF('[1]Setup'!$B$23="#",0,IF(NOT(F6="-"),VLOOKUP(F6,'[1]AL QD'!$A$3:$H$34,3,FALSE),0))</f>
        <v>0</v>
      </c>
      <c r="H6" s="37" t="str">
        <f>IF($G6&gt;0,VLOOKUP($G6,'[1]AL QD'!$C$3:$E$34,2,FALSE),"bye")</f>
        <v>bye</v>
      </c>
      <c r="I6" s="33">
        <f aca="true" t="shared" si="0" ref="I6:I36">IF(NOT(G6&gt;0),"",IF(ISERROR(FIND("-",H6)),LEFT(H6,FIND(" ",H6)-1),IF(FIND("-",H6)&gt;FIND(" ",H6),LEFT(H6,FIND(" ",H6)-1),LEFT(H6,FIND("-",H6)-1))))</f>
      </c>
      <c r="J6" s="38">
        <f>IF($G6&gt;0,VLOOKUP($G6,'[1]AL QD'!$C$3:$E$34,3,FALSE),"")</f>
      </c>
      <c r="K6" s="39"/>
      <c r="L6" s="40"/>
      <c r="M6" s="30">
        <v>1</v>
      </c>
      <c r="N6" s="31" t="str">
        <f>UPPER(IF($A$2="R",IF(OR(M6=1,M6="a"),L5,IF(OR(M6=2,M6="b"),L7,"")),IF(OR(M6=1,M6="a"),L5,IF(OR(M6=2,M6="b"),L7,""))))</f>
        <v>ΤΣΕΚΟΥΡΑΣ</v>
      </c>
    </row>
    <row r="7" spans="1:14" ht="9.75" customHeight="1">
      <c r="A7" s="34">
        <v>3</v>
      </c>
      <c r="B7" s="35">
        <f>IF(E7=0,18-D7,0)</f>
        <v>0</v>
      </c>
      <c r="C7" s="36">
        <f>'[1]Setup'!G4</f>
        <v>0</v>
      </c>
      <c r="D7" s="35">
        <f aca="true" t="shared" si="1" ref="D7:D36">D6+E7</f>
        <v>2</v>
      </c>
      <c r="E7" s="35">
        <f>IF($B$2&gt;=C7,1,0)</f>
        <v>1</v>
      </c>
      <c r="F7" s="34" t="str">
        <f>IF($B$2&gt;=C7,"-",VLOOKUP($B7,'[1]Setup'!$H$15:$I$30,2,FALSE))</f>
        <v>-</v>
      </c>
      <c r="G7" s="34">
        <f>IF('[1]Setup'!$B$23="#",0,IF(NOT(F7="-"),VLOOKUP(F7,'[1]AL QD'!$A$3:$H$34,3,FALSE),0))</f>
        <v>0</v>
      </c>
      <c r="H7" s="37" t="str">
        <f>IF($G7&gt;0,VLOOKUP(G7,'[1]AL QD'!$C$3:$E$34,2,FALSE),"bye")</f>
        <v>bye</v>
      </c>
      <c r="I7" s="33">
        <f t="shared" si="0"/>
      </c>
      <c r="J7" s="38">
        <f>IF($G7&gt;0,VLOOKUP($G7,'[1]AL QD'!$C$3:$E$34,3,FALSE),"")</f>
      </c>
      <c r="K7" s="41"/>
      <c r="L7" s="31">
        <f>UPPER(IF($A$2="R",IF(OR(K7=1,K7="a"),G7,IF(OR(K7=2,K7="b"),G8,"")),IF(OR(K7=1,K7="a"),I7,IF(OR(K7=2,K7="b"),I8,""))))</f>
      </c>
      <c r="M7" s="42"/>
      <c r="N7" s="43"/>
    </row>
    <row r="8" spans="1:14" ht="9.75" customHeight="1">
      <c r="A8" s="44">
        <v>4</v>
      </c>
      <c r="B8" s="45"/>
      <c r="C8" s="46">
        <v>17</v>
      </c>
      <c r="D8" s="45">
        <f t="shared" si="1"/>
        <v>3</v>
      </c>
      <c r="E8" s="45">
        <f>IF($B$2&gt;=C8,1,0)</f>
        <v>1</v>
      </c>
      <c r="F8" s="44">
        <f>'[1]Setup'!G4</f>
        <v>0</v>
      </c>
      <c r="G8" s="44">
        <f>IF('[1]Setup'!$B$23="#",0,IF(F8&gt;0,VLOOKUP(F8,'[1]AL QD'!$A$3:$E$34,3,FALSE),0))</f>
        <v>0</v>
      </c>
      <c r="H8" s="47" t="str">
        <f>IF(G8&gt;0,VLOOKUP(G8,'[1]AL QD'!$C$3:$E$34,2,FALSE),"bye")</f>
        <v>bye</v>
      </c>
      <c r="I8" s="33">
        <f t="shared" si="0"/>
      </c>
      <c r="J8" s="48">
        <f>IF($G8&gt;0,VLOOKUP($G8,'[1]AL QD'!$C$3:$E$34,3,FALSE),"")</f>
      </c>
      <c r="K8" s="39"/>
      <c r="L8" s="49"/>
      <c r="M8" s="32"/>
      <c r="N8" s="50"/>
    </row>
    <row r="9" spans="1:14" ht="9.75" customHeight="1">
      <c r="A9" s="34">
        <v>5</v>
      </c>
      <c r="B9" s="35"/>
      <c r="C9" s="51"/>
      <c r="D9" s="35">
        <f t="shared" si="1"/>
        <v>3</v>
      </c>
      <c r="E9" s="35">
        <v>0</v>
      </c>
      <c r="F9" s="26">
        <v>2</v>
      </c>
      <c r="G9" s="26">
        <f>IF('[1]Setup'!$B$23="#",0,IF(F9&gt;0,VLOOKUP(F9,'[1]AL QD'!$A$3:$H$34,3,FALSE),0))</f>
        <v>35922</v>
      </c>
      <c r="H9" s="27" t="str">
        <f>IF($G9&gt;0,VLOOKUP(G9,'[1]AL QD'!$C$3:$H$34,2,FALSE),0)</f>
        <v>ΜΠΑΜΙΑΣ ΒΑΣΙΛΕΙΟΣ</v>
      </c>
      <c r="I9" s="28" t="str">
        <f t="shared" si="0"/>
        <v>ΜΠΑΜΙΑΣ</v>
      </c>
      <c r="J9" s="52" t="str">
        <f>IF($G9&gt;0,VLOOKUP($G9,'[1]AL QD'!$C$3:$E$34,3,FALSE),"")</f>
        <v>Ο.Α.ΧΑΛΚΙΔΑΣ</v>
      </c>
      <c r="K9" s="53">
        <v>1</v>
      </c>
      <c r="L9" s="31" t="str">
        <f>UPPER(IF($A$2="R",IF(OR(K9=1,K9="a"),G9,IF(OR(K9=2,K9="b"),G10,"")),IF(OR(K9=1,K9="a"),I9,IF(OR(K9=2,K9="b"),I10,""))))</f>
        <v>ΜΠΑΜΙΑΣ</v>
      </c>
      <c r="M9" s="32"/>
      <c r="N9" s="50"/>
    </row>
    <row r="10" spans="1:14" ht="9.75" customHeight="1">
      <c r="A10" s="34">
        <v>6</v>
      </c>
      <c r="B10" s="35">
        <f>IF(E10=0,19-D10,0)</f>
        <v>0</v>
      </c>
      <c r="C10" s="36">
        <v>2</v>
      </c>
      <c r="D10" s="35">
        <f t="shared" si="1"/>
        <v>4</v>
      </c>
      <c r="E10" s="35">
        <f>IF($B$2&gt;=C10,1,0)</f>
        <v>1</v>
      </c>
      <c r="F10" s="34" t="str">
        <f>IF($B$2&gt;=C10,"-",VLOOKUP($B10,'[1]Setup'!$H$15:$I$30,2,FALSE))</f>
        <v>-</v>
      </c>
      <c r="G10" s="34">
        <f>IF('[1]Setup'!$B$23="#",0,IF(NOT(F10="-"),VLOOKUP(F10,'[1]AL QD'!$A$3:$E$34,3,FALSE),0))</f>
        <v>0</v>
      </c>
      <c r="H10" s="37" t="str">
        <f>IF($G10&gt;0,VLOOKUP($G10,'[1]AL QD'!$C$3:$E$34,2,FALSE),"bye")</f>
        <v>bye</v>
      </c>
      <c r="I10" s="33">
        <f t="shared" si="0"/>
      </c>
      <c r="J10" s="38">
        <f>IF($G10&gt;0,VLOOKUP($G10,'[1]AL QD'!$C$3:$E$34,3,FALSE),"")</f>
      </c>
      <c r="K10" s="39"/>
      <c r="L10" s="40"/>
      <c r="M10" s="30">
        <v>1</v>
      </c>
      <c r="N10" s="31" t="str">
        <f>UPPER(IF($A$2="R",IF(OR(M10=1,M10="a"),L9,IF(OR(M10=2,M10="b"),L11,"")),IF(OR(M10=1,M10="a"),L9,IF(OR(M10=2,M10="b"),L11,""))))</f>
        <v>ΜΠΑΜΙΑΣ</v>
      </c>
    </row>
    <row r="11" spans="1:14" ht="9.75" customHeight="1">
      <c r="A11" s="34">
        <v>7</v>
      </c>
      <c r="B11" s="35">
        <f>IF(E11=0,20-D11,0)</f>
        <v>0</v>
      </c>
      <c r="C11" s="36">
        <f>'[1]Setup'!G5</f>
        <v>0</v>
      </c>
      <c r="D11" s="35">
        <f t="shared" si="1"/>
        <v>5</v>
      </c>
      <c r="E11" s="35">
        <f>IF($B$2&gt;=C11,1,0)</f>
        <v>1</v>
      </c>
      <c r="F11" s="34" t="str">
        <f>IF($B$2&gt;=C11,"-",VLOOKUP($B11,'[1]Setup'!$H$15:$I$30,2,FALSE))</f>
        <v>-</v>
      </c>
      <c r="G11" s="34">
        <f>IF('[1]Setup'!$B$23="#",0,IF(NOT(F11="-"),VLOOKUP(F11,'[1]AL QD'!$A$3:$E$34,3,FALSE),0))</f>
        <v>0</v>
      </c>
      <c r="H11" s="37" t="str">
        <f>IF($G11&gt;0,VLOOKUP($G11,'[1]AL QD'!$C$3:$E$34,2,FALSE),"bye")</f>
        <v>bye</v>
      </c>
      <c r="I11" s="33">
        <f t="shared" si="0"/>
      </c>
      <c r="J11" s="38">
        <f>IF($G11&gt;0,VLOOKUP($G11,'[1]AL QD'!$C$3:$E$34,3,FALSE),"")</f>
      </c>
      <c r="K11" s="41"/>
      <c r="L11" s="31">
        <f>UPPER(IF($A$2="R",IF(OR(K11=1,K11="a"),G11,IF(OR(K11=2,K11="b"),G12,"")),IF(OR(K11=1,K11="a"),I11,IF(OR(K11=2,K11="b"),I12,""))))</f>
      </c>
      <c r="M11" s="42"/>
      <c r="N11" s="43"/>
    </row>
    <row r="12" spans="1:14" ht="9.75" customHeight="1">
      <c r="A12" s="44">
        <v>8</v>
      </c>
      <c r="B12" s="45"/>
      <c r="C12" s="46">
        <v>18</v>
      </c>
      <c r="D12" s="45">
        <f t="shared" si="1"/>
        <v>6</v>
      </c>
      <c r="E12" s="45">
        <f>IF($B$2&gt;=C12,1,0)</f>
        <v>1</v>
      </c>
      <c r="F12" s="44">
        <f>'[1]Setup'!G5</f>
        <v>0</v>
      </c>
      <c r="G12" s="44">
        <f>IF('[1]Setup'!$B$23="#",0,IF(F12&gt;0,VLOOKUP(F12,'[1]AL QD'!$A$3:$E$34,3,FALSE),0))</f>
        <v>0</v>
      </c>
      <c r="H12" s="47" t="str">
        <f>IF(G12&gt;0,VLOOKUP(G12,'[1]AL QD'!$C$3:$E$34,2,FALSE),"bye")</f>
        <v>bye</v>
      </c>
      <c r="I12" s="33">
        <f t="shared" si="0"/>
      </c>
      <c r="J12" s="48">
        <f>IF($G12&gt;0,VLOOKUP($G12,'[1]AL QD'!$C$3:$E$34,3,FALSE),"")</f>
      </c>
      <c r="K12" s="39"/>
      <c r="L12" s="43"/>
      <c r="N12" s="50"/>
    </row>
    <row r="13" spans="1:14" ht="9.75" customHeight="1">
      <c r="A13" s="34">
        <v>9</v>
      </c>
      <c r="B13" s="35"/>
      <c r="C13" s="51"/>
      <c r="D13" s="35">
        <f t="shared" si="1"/>
        <v>6</v>
      </c>
      <c r="E13" s="35">
        <v>0</v>
      </c>
      <c r="F13" s="55">
        <v>3</v>
      </c>
      <c r="G13" s="26">
        <f>IF('[1]Setup'!$B$23="#",0,IF(F13&gt;0,VLOOKUP(F13,'[1]AL QD'!$A$3:$H$34,3,FALSE),0))</f>
        <v>35927</v>
      </c>
      <c r="H13" s="27" t="str">
        <f>IF($G13&gt;0,VLOOKUP(G13,'[1]AL QD'!$C$3:$H$34,2,FALSE),0)</f>
        <v>ΤΣΙΧΛΗΣ ΒΑΣΙΛΕΙΟΣ</v>
      </c>
      <c r="I13" s="28" t="str">
        <f t="shared" si="0"/>
        <v>ΤΣΙΧΛΗΣ</v>
      </c>
      <c r="J13" s="52" t="str">
        <f>IF($G13&gt;0,VLOOKUP($G13,'[1]AL QD'!$C$3:$E$34,3,FALSE),"")</f>
        <v>Ο.Α.ΧΑΛΚΙΔΑΣ</v>
      </c>
      <c r="K13" s="41">
        <v>1</v>
      </c>
      <c r="L13" s="31" t="str">
        <f>UPPER(IF($A$2="R",IF(OR(K13=1,K13="a"),G13,IF(OR(K13=2,K13="b"),G14,"")),IF(OR(K13=1,K13="a"),I13,IF(OR(K13=2,K13="b"),I14,""))))</f>
        <v>ΤΣΙΧΛΗΣ</v>
      </c>
      <c r="M13" s="32"/>
      <c r="N13" s="50"/>
    </row>
    <row r="14" spans="1:14" ht="9.75" customHeight="1">
      <c r="A14" s="34">
        <v>10</v>
      </c>
      <c r="B14" s="35">
        <f>IF(E14=0,21-D14,0)</f>
        <v>0</v>
      </c>
      <c r="C14" s="36">
        <v>3</v>
      </c>
      <c r="D14" s="35">
        <f t="shared" si="1"/>
        <v>7</v>
      </c>
      <c r="E14" s="35">
        <f>IF($B$2&gt;=C14,1,0)</f>
        <v>1</v>
      </c>
      <c r="F14" s="34" t="str">
        <f>IF($B$2&gt;=C14,"-",VLOOKUP($B14,'[1]Setup'!$H$15:$I$30,2,FALSE))</f>
        <v>-</v>
      </c>
      <c r="G14" s="34">
        <f>IF('[1]Setup'!$B$23="#",0,IF(NOT(F14="-"),VLOOKUP(F14,'[1]AL QD'!$A$3:$E$34,3,FALSE),0))</f>
        <v>0</v>
      </c>
      <c r="H14" s="37" t="str">
        <f>IF($G14&gt;0,VLOOKUP($G14,'[1]AL QD'!$C$3:$E$34,2,FALSE),"bye")</f>
        <v>bye</v>
      </c>
      <c r="I14" s="33">
        <f t="shared" si="0"/>
      </c>
      <c r="J14" s="38">
        <f>IF($G14&gt;0,VLOOKUP($G14,'[1]AL QD'!$C$3:$E$34,3,FALSE),"")</f>
      </c>
      <c r="K14" s="39"/>
      <c r="L14" s="40"/>
      <c r="M14" s="30">
        <v>1</v>
      </c>
      <c r="N14" s="31" t="str">
        <f>UPPER(IF($A$2="R",IF(OR(M14=1,M14="a"),L13,IF(OR(M14=2,M14="b"),L15,"")),IF(OR(M14=1,M14="a"),L13,IF(OR(M14=2,M14="b"),L15,""))))</f>
        <v>ΤΣΙΧΛΗΣ</v>
      </c>
    </row>
    <row r="15" spans="1:14" ht="9.75" customHeight="1">
      <c r="A15" s="34">
        <v>11</v>
      </c>
      <c r="B15" s="35">
        <f>IF(E15=0,22-D15,0)</f>
        <v>0</v>
      </c>
      <c r="C15" s="36">
        <f>'[1]Setup'!G6</f>
        <v>0</v>
      </c>
      <c r="D15" s="35">
        <f t="shared" si="1"/>
        <v>8</v>
      </c>
      <c r="E15" s="35">
        <f>IF($B$2&gt;=C15,1,0)</f>
        <v>1</v>
      </c>
      <c r="F15" s="34" t="str">
        <f>IF($B$2&gt;=C15,"-",VLOOKUP($B15,'[1]Setup'!$H$15:$I$30,2,FALSE))</f>
        <v>-</v>
      </c>
      <c r="G15" s="34">
        <f>IF('[1]Setup'!$B$23="#",0,IF(NOT(F15="-"),VLOOKUP(F15,'[1]AL QD'!$A$3:$E$34,3,FALSE),0))</f>
        <v>0</v>
      </c>
      <c r="H15" s="37" t="str">
        <f>IF(G15&gt;0,VLOOKUP(G15,'[1]AL QD'!$C$3:$E$34,2,FALSE),"bye")</f>
        <v>bye</v>
      </c>
      <c r="I15" s="33">
        <f t="shared" si="0"/>
      </c>
      <c r="J15" s="38">
        <f>IF($G15&gt;0,VLOOKUP($G15,'[1]AL QD'!$C$3:$E$34,3,FALSE),"")</f>
      </c>
      <c r="K15" s="41"/>
      <c r="L15" s="31">
        <f>UPPER(IF($A$2="R",IF(OR(K15=1,K15="a"),G15,IF(OR(K15=2,K15="b"),G16,"")),IF(OR(K15=1,K15="a"),I15,IF(OR(K15=2,K15="b"),I16,""))))</f>
      </c>
      <c r="M15" s="42"/>
      <c r="N15" s="43"/>
    </row>
    <row r="16" spans="1:14" ht="9.75" customHeight="1">
      <c r="A16" s="44">
        <v>12</v>
      </c>
      <c r="B16" s="45"/>
      <c r="C16" s="46">
        <v>19</v>
      </c>
      <c r="D16" s="45">
        <f t="shared" si="1"/>
        <v>9</v>
      </c>
      <c r="E16" s="45">
        <f>IF($B$2&gt;=C16,1,0)</f>
        <v>1</v>
      </c>
      <c r="F16" s="44">
        <f>'[1]Setup'!G6</f>
        <v>0</v>
      </c>
      <c r="G16" s="44">
        <f>IF('[1]Setup'!$B$23="#",0,IF(F16&gt;0,VLOOKUP(F16,'[1]AL QD'!$A$3:$E$34,3,FALSE),0))</f>
        <v>0</v>
      </c>
      <c r="H16" s="47" t="str">
        <f>IF(G16&gt;0,VLOOKUP(G16,'[1]AL QD'!$C$3:$E$34,2,FALSE),"bye")</f>
        <v>bye</v>
      </c>
      <c r="I16" s="56">
        <f t="shared" si="0"/>
      </c>
      <c r="J16" s="48">
        <f>IF($G16&gt;0,VLOOKUP($G16,'[1]AL QD'!$C$3:$E$34,3,FALSE),"")</f>
      </c>
      <c r="K16" s="20"/>
      <c r="L16" s="43"/>
      <c r="M16" s="32"/>
      <c r="N16" s="50"/>
    </row>
    <row r="17" spans="1:14" ht="9.75" customHeight="1">
      <c r="A17" s="34">
        <v>13</v>
      </c>
      <c r="B17" s="35"/>
      <c r="C17" s="51"/>
      <c r="D17" s="35">
        <f t="shared" si="1"/>
        <v>9</v>
      </c>
      <c r="E17" s="35">
        <v>0</v>
      </c>
      <c r="F17" s="55">
        <v>4</v>
      </c>
      <c r="G17" s="26">
        <f>IF('[1]Setup'!$B$23="#",0,IF(F17&gt;0,VLOOKUP(F17,'[1]AL QD'!$A$3:$H$34,3,FALSE),0))</f>
        <v>32887</v>
      </c>
      <c r="H17" s="27" t="str">
        <f>IF($G17&gt;0,VLOOKUP(G17,'[1]AL QD'!$C$3:$H$34,2,FALSE),0)</f>
        <v>ΠΑΣΤΡΑΣ ΑΝΑΣΤΑΣΙΟΣ</v>
      </c>
      <c r="I17" s="33" t="str">
        <f t="shared" si="0"/>
        <v>ΠΑΣΤΡΑΣ</v>
      </c>
      <c r="J17" s="52" t="str">
        <f>IF($G17&gt;0,VLOOKUP($G17,'[1]AL QD'!$C$3:$E$34,3,FALSE),"")</f>
        <v>Ο.Α.ΚΑΛΑΜΑΤΑΣ</v>
      </c>
      <c r="K17" s="41">
        <v>1</v>
      </c>
      <c r="L17" s="31" t="str">
        <f>UPPER(IF($A$2="R",IF(OR(K17=1,K17="a"),G17,IF(OR(K17=2,K17="b"),G18,"")),IF(OR(K17=1,K17="a"),I17,IF(OR(K17=2,K17="b"),I18,""))))</f>
        <v>ΠΑΣΤΡΑΣ</v>
      </c>
      <c r="M17" s="32"/>
      <c r="N17" s="50"/>
    </row>
    <row r="18" spans="1:14" ht="9.75" customHeight="1">
      <c r="A18" s="34">
        <v>14</v>
      </c>
      <c r="B18" s="35">
        <f>IF(E18=0,23-D18,0)</f>
        <v>0</v>
      </c>
      <c r="C18" s="36">
        <v>4</v>
      </c>
      <c r="D18" s="35">
        <f t="shared" si="1"/>
        <v>10</v>
      </c>
      <c r="E18" s="35">
        <f>IF($B$2&gt;=C18,1,0)</f>
        <v>1</v>
      </c>
      <c r="F18" s="34" t="str">
        <f>IF($B$2&gt;=C18,"-",VLOOKUP($B18,'[1]Setup'!$H$15:$I$30,2,FALSE))</f>
        <v>-</v>
      </c>
      <c r="G18" s="34">
        <f>IF('[1]Setup'!$B$23="#",0,IF(NOT(F18="-"),VLOOKUP(F18,'[1]AL QD'!$A$3:$E$34,3,FALSE),0))</f>
        <v>0</v>
      </c>
      <c r="H18" s="37" t="str">
        <f>IF($G18&gt;0,VLOOKUP($G18,'[1]AL QD'!$C$3:$E$34,2,FALSE),"bye")</f>
        <v>bye</v>
      </c>
      <c r="I18" s="33">
        <f t="shared" si="0"/>
      </c>
      <c r="J18" s="38">
        <f>IF($G18&gt;0,VLOOKUP($G18,'[1]AL QD'!$C$3:$E$34,3,FALSE),"")</f>
      </c>
      <c r="K18" s="39"/>
      <c r="L18" s="40"/>
      <c r="M18" s="30">
        <v>1</v>
      </c>
      <c r="N18" s="31" t="str">
        <f>UPPER(IF($A$2="R",IF(OR(M18=1,M18="a"),L17,IF(OR(M18=2,M18="b"),L19,"")),IF(OR(M18=1,M18="a"),L17,IF(OR(M18=2,M18="b"),L19,""))))</f>
        <v>ΠΑΣΤΡΑΣ</v>
      </c>
    </row>
    <row r="19" spans="1:14" ht="9.75" customHeight="1">
      <c r="A19" s="34">
        <v>15</v>
      </c>
      <c r="B19" s="35">
        <f>IF(E19=0,24-D19,0)</f>
        <v>0</v>
      </c>
      <c r="C19" s="36">
        <f>'[1]Setup'!G7</f>
        <v>0</v>
      </c>
      <c r="D19" s="35">
        <f t="shared" si="1"/>
        <v>11</v>
      </c>
      <c r="E19" s="35">
        <f>IF($B$2&gt;=C19,1,0)</f>
        <v>1</v>
      </c>
      <c r="F19" s="34" t="str">
        <f>IF($B$2&gt;=C19,"-",VLOOKUP($B19,'[1]Setup'!$H$15:$I$30,2,FALSE))</f>
        <v>-</v>
      </c>
      <c r="G19" s="34">
        <f>IF('[1]Setup'!$B$23="#",0,IF(NOT(F19="-"),VLOOKUP(F19,'[1]AL QD'!$A$3:$E$34,3,FALSE),0))</f>
        <v>0</v>
      </c>
      <c r="H19" s="37" t="str">
        <f>IF(G19&gt;0,VLOOKUP(G19,'[1]AL QD'!$C$3:$E$34,2,FALSE),"bye")</f>
        <v>bye</v>
      </c>
      <c r="I19" s="33">
        <f t="shared" si="0"/>
      </c>
      <c r="J19" s="38">
        <f>IF($G19&gt;0,VLOOKUP($G19,'[1]AL QD'!$C$3:$E$34,3,FALSE),"")</f>
      </c>
      <c r="K19" s="41"/>
      <c r="L19" s="31">
        <f>UPPER(IF($A$2="R",IF(OR(K19=1,K19="a"),G19,IF(OR(K19=2,K19="b"),G20,"")),IF(OR(K19=1,K19="a"),I19,IF(OR(K19=2,K19="b"),I20,""))))</f>
      </c>
      <c r="M19" s="42"/>
      <c r="N19" s="43"/>
    </row>
    <row r="20" spans="1:14" ht="9.75" customHeight="1">
      <c r="A20" s="34">
        <v>16</v>
      </c>
      <c r="B20" s="35"/>
      <c r="C20" s="51">
        <v>20</v>
      </c>
      <c r="D20" s="35">
        <f t="shared" si="1"/>
        <v>12</v>
      </c>
      <c r="E20" s="45">
        <f>IF($B$2&gt;=C20,1,0)</f>
        <v>1</v>
      </c>
      <c r="F20" s="44">
        <f>'[1]Setup'!G7</f>
        <v>0</v>
      </c>
      <c r="G20" s="34">
        <f>IF('[1]Setup'!$B$23="#",0,IF(F20&gt;0,VLOOKUP(F20,'[1]AL QD'!$A$3:$E$34,3,FALSE),0))</f>
        <v>0</v>
      </c>
      <c r="H20" s="37" t="str">
        <f>IF(G20&gt;0,VLOOKUP(G20,'[1]AL QD'!$C$3:$E$34,2,FALSE),"bye")</f>
        <v>bye</v>
      </c>
      <c r="I20" s="56">
        <f t="shared" si="0"/>
      </c>
      <c r="J20" s="38">
        <f>IF($G20&gt;0,VLOOKUP($G20,'[1]AL QD'!$C$3:$E$34,3,FALSE),"")</f>
      </c>
      <c r="K20" s="39"/>
      <c r="L20" s="43"/>
      <c r="M20" s="32"/>
      <c r="N20" s="50"/>
    </row>
    <row r="21" spans="1:14" ht="9.75" customHeight="1">
      <c r="A21" s="23">
        <v>17</v>
      </c>
      <c r="B21" s="24"/>
      <c r="C21" s="25"/>
      <c r="D21" s="24">
        <f t="shared" si="1"/>
        <v>12</v>
      </c>
      <c r="E21" s="24">
        <v>0</v>
      </c>
      <c r="F21" s="26">
        <v>5</v>
      </c>
      <c r="G21" s="26">
        <f>IF('[1]Setup'!$B$23="#",0,IF(F21&gt;0,VLOOKUP(F21,'[1]AL QD'!$A$3:$H$34,3,FALSE),0))</f>
        <v>30151</v>
      </c>
      <c r="H21" s="27" t="str">
        <f>IF($G21&gt;0,VLOOKUP(G21,'[1]AL QD'!$C$3:$H$34,2,FALSE),0)</f>
        <v>ΚΑΡΑΝΑΓΝΩΣΤΗΣ ΚΩΝΣΤΑΝΤΙΝΟΣ</v>
      </c>
      <c r="I21" s="33" t="str">
        <f t="shared" si="0"/>
        <v>ΚΑΡΑΝΑΓΝΩΣΤΗΣ</v>
      </c>
      <c r="J21" s="52" t="str">
        <f>IF($G21&gt;0,VLOOKUP($G21,'[1]AL QD'!$C$3:$E$34,3,FALSE),"")</f>
        <v>Α.Ε.Κ.ΤΡΙΠΟΛΗΣ</v>
      </c>
      <c r="K21" s="41">
        <v>1</v>
      </c>
      <c r="L21" s="31" t="str">
        <f>UPPER(IF($A$2="R",IF(OR(K21=1,K21="a"),G21,IF(OR(K21=2,K21="b"),G22,"")),IF(OR(K21=1,K21="a"),I21,IF(OR(K21=2,K21="b"),I22,""))))</f>
        <v>ΚΑΡΑΝΑΓΝΩΣΤΗΣ</v>
      </c>
      <c r="M21" s="32"/>
      <c r="N21" s="50"/>
    </row>
    <row r="22" spans="1:14" ht="9.75" customHeight="1">
      <c r="A22" s="34">
        <v>18</v>
      </c>
      <c r="B22" s="35">
        <f>IF(E22=0,25-D22,0)</f>
        <v>0</v>
      </c>
      <c r="C22" s="36">
        <v>5</v>
      </c>
      <c r="D22" s="35">
        <f t="shared" si="1"/>
        <v>13</v>
      </c>
      <c r="E22" s="35">
        <f>IF($B$2&gt;=C22,1,0)</f>
        <v>1</v>
      </c>
      <c r="F22" s="34" t="str">
        <f>IF($B$2&gt;=C22,"-",VLOOKUP($B22,'[1]Setup'!$H$15:$I$30,2,FALSE))</f>
        <v>-</v>
      </c>
      <c r="G22" s="34">
        <f>IF('[1]Setup'!$B$23="#",0,IF(NOT(F22="-"),VLOOKUP(F22,'[1]AL QD'!$A$3:$E$34,3,FALSE),0))</f>
        <v>0</v>
      </c>
      <c r="H22" s="37" t="str">
        <f>IF($G22&gt;0,VLOOKUP($G22,'[1]AL QD'!$C$3:$E$34,2,FALSE),"bye")</f>
        <v>bye</v>
      </c>
      <c r="I22" s="33">
        <f t="shared" si="0"/>
      </c>
      <c r="J22" s="38">
        <f>IF($G22&gt;0,VLOOKUP($G22,'[1]AL QD'!$C$3:$E$34,3,FALSE),"")</f>
      </c>
      <c r="K22" s="39"/>
      <c r="L22" s="40"/>
      <c r="M22" s="30">
        <v>1</v>
      </c>
      <c r="N22" s="31" t="str">
        <f>UPPER(IF($A$2="R",IF(OR(M22=1,M22="a"),L21,IF(OR(M22=2,M22="b"),L23,"")),IF(OR(M22=1,M22="a"),L21,IF(OR(M22=2,M22="b"),L23,""))))</f>
        <v>ΚΑΡΑΝΑΓΝΩΣΤΗΣ</v>
      </c>
    </row>
    <row r="23" spans="1:14" ht="9.75" customHeight="1">
      <c r="A23" s="34">
        <v>19</v>
      </c>
      <c r="B23" s="35">
        <f>IF(E23=0,26-D23,0)</f>
        <v>0</v>
      </c>
      <c r="C23" s="36">
        <f>'[1]Setup'!G8</f>
        <v>11</v>
      </c>
      <c r="D23" s="35">
        <f t="shared" si="1"/>
        <v>14</v>
      </c>
      <c r="E23" s="35">
        <f>IF($B$2&gt;=C23,1,0)</f>
        <v>1</v>
      </c>
      <c r="F23" s="34" t="str">
        <f>IF($B$2&gt;=C23,"-",VLOOKUP($B23,'[1]Setup'!$H$15:$I$30,2,FALSE))</f>
        <v>-</v>
      </c>
      <c r="G23" s="34">
        <f>IF('[1]Setup'!$B$23="#",0,IF(NOT(F23="-"),VLOOKUP(F23,'[1]AL QD'!$A$3:$E$34,3,FALSE),0))</f>
        <v>0</v>
      </c>
      <c r="H23" s="37" t="str">
        <f>IF(G23&gt;0,VLOOKUP(G23,'[1]AL QD'!$C$3:$E$34,2,FALSE),"bye")</f>
        <v>bye</v>
      </c>
      <c r="I23" s="33">
        <f t="shared" si="0"/>
      </c>
      <c r="J23" s="38">
        <f>IF($G23&gt;0,VLOOKUP($G23,'[1]AL QD'!$C$3:$E$34,3,FALSE),"")</f>
      </c>
      <c r="K23" s="41">
        <v>2</v>
      </c>
      <c r="L23" s="31" t="str">
        <f>UPPER(IF($A$2="R",IF(OR(K23=1,K23="a"),G23,IF(OR(K23=2,K23="b"),G24,"")),IF(OR(K23=1,K23="a"),I23,IF(OR(K23=2,K23="b"),I24,""))))</f>
        <v>ΠΑΠΑΔΗΜΗΤΡΟΠΟΥΛΟΣ</v>
      </c>
      <c r="M23" s="42"/>
      <c r="N23" s="43" t="s">
        <v>12</v>
      </c>
    </row>
    <row r="24" spans="1:14" ht="9.75" customHeight="1">
      <c r="A24" s="44">
        <v>20</v>
      </c>
      <c r="B24" s="45"/>
      <c r="C24" s="46">
        <v>21</v>
      </c>
      <c r="D24" s="45">
        <f t="shared" si="1"/>
        <v>14</v>
      </c>
      <c r="E24" s="45">
        <f>IF($B$2&gt;=C24,1,0)</f>
        <v>0</v>
      </c>
      <c r="F24" s="44">
        <f>'[1]Setup'!G8</f>
        <v>11</v>
      </c>
      <c r="G24" s="44">
        <f>IF('[1]Setup'!$B$23="#",0,IF(F24&gt;0,VLOOKUP(F24,'[1]AL QD'!$A$3:$E$34,3,FALSE),0))</f>
        <v>36261</v>
      </c>
      <c r="H24" s="47" t="str">
        <f>IF(G24&gt;0,VLOOKUP(G24,'[1]AL QD'!$C$3:$E$34,2,FALSE),"bye")</f>
        <v>ΠΑΠΑΔΗΜΗΤΡΟΠΟΥΛΟΣ ΑΝΔΡΕΑΣ</v>
      </c>
      <c r="I24" s="56" t="str">
        <f t="shared" si="0"/>
        <v>ΠΑΠΑΔΗΜΗΤΡΟΠΟΥΛΟΣ</v>
      </c>
      <c r="J24" s="48" t="str">
        <f>IF($G24&gt;0,VLOOKUP($G24,'[1]AL QD'!$C$3:$E$34,3,FALSE),"")</f>
        <v>Ο.Α.ΑΙΓΙΑΛΕΙΑΣ</v>
      </c>
      <c r="K24" s="39"/>
      <c r="L24" s="49"/>
      <c r="M24" s="32"/>
      <c r="N24" s="50"/>
    </row>
    <row r="25" spans="1:14" ht="9.75" customHeight="1">
      <c r="A25" s="34">
        <v>21</v>
      </c>
      <c r="B25" s="35"/>
      <c r="C25" s="51"/>
      <c r="D25" s="35">
        <f t="shared" si="1"/>
        <v>14</v>
      </c>
      <c r="E25" s="35">
        <v>0</v>
      </c>
      <c r="F25" s="55">
        <v>6</v>
      </c>
      <c r="G25" s="26">
        <f>IF('[1]Setup'!$B$23="#",0,IF(F25&gt;0,VLOOKUP(F25,'[1]AL QD'!$A$3:$H$34,3,FALSE),0))</f>
        <v>33352</v>
      </c>
      <c r="H25" s="27" t="str">
        <f>IF($G25&gt;0,VLOOKUP(G25,'[1]AL QD'!$C$3:$H$34,2,FALSE),0)</f>
        <v>ΝΑΣΙΑΚΟΣ ΓΕΩΡΓΙΟΣ</v>
      </c>
      <c r="I25" s="33" t="str">
        <f t="shared" si="0"/>
        <v>ΝΑΣΙΑΚΟΣ</v>
      </c>
      <c r="J25" s="52" t="str">
        <f>IF($G25&gt;0,VLOOKUP($G25,'[1]AL QD'!$C$3:$E$34,3,FALSE),"")</f>
        <v>Α.Ε.Κ.ΤΡΙΠΟΛΗΣ</v>
      </c>
      <c r="K25" s="41">
        <v>1</v>
      </c>
      <c r="L25" s="31" t="str">
        <f>UPPER(IF($A$2="R",IF(OR(K25=1,K25="a"),G25,IF(OR(K25=2,K25="b"),G26,"")),IF(OR(K25=1,K25="a"),I25,IF(OR(K25=2,K25="b"),I26,""))))</f>
        <v>ΝΑΣΙΑΚΟΣ</v>
      </c>
      <c r="M25" s="32"/>
      <c r="N25" s="50"/>
    </row>
    <row r="26" spans="1:14" ht="9.75" customHeight="1">
      <c r="A26" s="34">
        <v>22</v>
      </c>
      <c r="B26" s="35">
        <f>IF(E26=0,27-D26,0)</f>
        <v>0</v>
      </c>
      <c r="C26" s="36">
        <v>6</v>
      </c>
      <c r="D26" s="35">
        <f t="shared" si="1"/>
        <v>15</v>
      </c>
      <c r="E26" s="35">
        <f>IF($B$2&gt;=C26,1,0)</f>
        <v>1</v>
      </c>
      <c r="F26" s="34" t="str">
        <f>IF($B$2&gt;=C26,"-",VLOOKUP($B26,'[1]Setup'!$H$15:$I$30,2,FALSE))</f>
        <v>-</v>
      </c>
      <c r="G26" s="34">
        <f>IF('[1]Setup'!$B$23="#",0,IF(NOT(F26="-"),VLOOKUP(F26,'[1]AL QD'!$A$3:$E$34,3,FALSE),0))</f>
        <v>0</v>
      </c>
      <c r="H26" s="37" t="str">
        <f>IF($G26&gt;0,VLOOKUP($G26,'[1]AL QD'!$C$3:$E$34,2,FALSE),"bye")</f>
        <v>bye</v>
      </c>
      <c r="I26" s="33">
        <f t="shared" si="0"/>
      </c>
      <c r="J26" s="38">
        <f>IF($G26&gt;0,VLOOKUP($G26,'[1]AL QD'!$C$3:$E$34,3,FALSE),"")</f>
      </c>
      <c r="K26" s="39"/>
      <c r="L26" s="40"/>
      <c r="M26" s="30">
        <v>2</v>
      </c>
      <c r="N26" s="31" t="str">
        <f>UPPER(IF($A$2="R",IF(OR(M26=1,M26="a"),L25,IF(OR(M26=2,M26="b"),L27,"")),IF(OR(M26=1,M26="a"),L25,IF(OR(M26=2,M26="b"),L27,""))))</f>
        <v>ΔΑΡΙΒΑΚΗΣ</v>
      </c>
    </row>
    <row r="27" spans="1:14" ht="9.75" customHeight="1">
      <c r="A27" s="34">
        <v>23</v>
      </c>
      <c r="B27" s="35">
        <f>IF(E27=0,28-D27,0)</f>
        <v>0</v>
      </c>
      <c r="C27" s="36">
        <f>'[1]Setup'!G9</f>
        <v>10</v>
      </c>
      <c r="D27" s="35">
        <f t="shared" si="1"/>
        <v>16</v>
      </c>
      <c r="E27" s="35">
        <f>IF($B$2&gt;=C27,1,0)</f>
        <v>1</v>
      </c>
      <c r="F27" s="34" t="str">
        <f>IF($B$2&gt;=C27,"-",VLOOKUP($B27,'[1]Setup'!$H$15:$I$30,2,FALSE))</f>
        <v>-</v>
      </c>
      <c r="G27" s="34">
        <f>IF('[1]Setup'!$B$23="#",0,IF(NOT(F27="-"),VLOOKUP(F27,'[1]AL QD'!$A$3:$E$34,3,FALSE),0))</f>
        <v>0</v>
      </c>
      <c r="H27" s="37" t="str">
        <f>IF(G27&gt;0,VLOOKUP(G27,'[1]AL QD'!$C$3:$E$34,2,FALSE),"bye")</f>
        <v>bye</v>
      </c>
      <c r="I27" s="33">
        <f t="shared" si="0"/>
      </c>
      <c r="J27" s="38">
        <f>IF($G27&gt;0,VLOOKUP($G27,'[1]AL QD'!$C$3:$E$34,3,FALSE),"")</f>
      </c>
      <c r="K27" s="41">
        <v>2</v>
      </c>
      <c r="L27" s="31" t="str">
        <f>UPPER(IF($A$2="R",IF(OR(K27=1,K27="a"),G27,IF(OR(K27=2,K27="b"),G28,"")),IF(OR(K27=1,K27="a"),I27,IF(OR(K27=2,K27="b"),I28,""))))</f>
        <v>ΔΑΡΙΒΑΚΗΣ</v>
      </c>
      <c r="M27" s="42"/>
      <c r="N27" s="43" t="s">
        <v>13</v>
      </c>
    </row>
    <row r="28" spans="1:14" ht="9.75" customHeight="1">
      <c r="A28" s="44">
        <v>24</v>
      </c>
      <c r="B28" s="45"/>
      <c r="C28" s="46">
        <v>22</v>
      </c>
      <c r="D28" s="45">
        <f t="shared" si="1"/>
        <v>16</v>
      </c>
      <c r="E28" s="45">
        <f>IF($B$2&gt;=C28,1,0)</f>
        <v>0</v>
      </c>
      <c r="F28" s="44">
        <f>'[1]Setup'!G9</f>
        <v>10</v>
      </c>
      <c r="G28" s="44">
        <f>IF('[1]Setup'!$B$23="#",0,IF(F28&gt;0,VLOOKUP(F28,'[1]AL QD'!$A$3:$E$34,3,FALSE),0))</f>
        <v>33857</v>
      </c>
      <c r="H28" s="47" t="str">
        <f>IF(G28&gt;0,VLOOKUP(G28,'[1]AL QD'!$C$3:$E$34,2,FALSE),"bye")</f>
        <v>ΔΑΡΙΒΑΚΗΣ-ΚΑΤΕΜΠ ΓΙΩΡΓΟΣ</v>
      </c>
      <c r="I28" s="33" t="str">
        <f t="shared" si="0"/>
        <v>ΔΑΡΙΒΑΚΗΣ</v>
      </c>
      <c r="J28" s="48" t="str">
        <f>IF($G28&gt;0,VLOOKUP($G28,'[1]AL QD'!$C$3:$E$34,3,FALSE),"")</f>
        <v>Α.Ο.Α.ΑΙΓΑΛΕΩ 92</v>
      </c>
      <c r="K28" s="39"/>
      <c r="L28" s="43"/>
      <c r="N28" s="50"/>
    </row>
    <row r="29" spans="1:14" ht="9.75" customHeight="1">
      <c r="A29" s="34">
        <v>25</v>
      </c>
      <c r="B29" s="35"/>
      <c r="C29" s="51"/>
      <c r="D29" s="35">
        <f t="shared" si="1"/>
        <v>16</v>
      </c>
      <c r="E29" s="35">
        <v>0</v>
      </c>
      <c r="F29" s="55">
        <v>7</v>
      </c>
      <c r="G29" s="26">
        <f>IF('[1]Setup'!$B$23="#",0,IF(F29&gt;0,VLOOKUP(F29,'[1]AL QD'!$A$3:$H$34,3,FALSE),0))</f>
        <v>36105</v>
      </c>
      <c r="H29" s="27" t="str">
        <f>IF($G29&gt;0,VLOOKUP(G29,'[1]AL QD'!$C$3:$H$34,2,FALSE),0)</f>
        <v>ΣΠΥΡΑΚΗΣ ΓΕΩΡΓΙΟΣ</v>
      </c>
      <c r="I29" s="28" t="str">
        <f t="shared" si="0"/>
        <v>ΣΠΥΡΑΚΗΣ</v>
      </c>
      <c r="J29" s="52" t="str">
        <f>IF($G29&gt;0,VLOOKUP($G29,'[1]AL QD'!$C$3:$E$34,3,FALSE),"")</f>
        <v>ΡΗΓΑΣ Α.Ο.Α.ΑΡΓΟΛΙΔΑΣ</v>
      </c>
      <c r="K29" s="41">
        <v>1</v>
      </c>
      <c r="L29" s="31" t="str">
        <f>UPPER(IF($A$2="R",IF(OR(K29=1,K29="a"),G29,IF(OR(K29=2,K29="b"),G30,"")),IF(OR(K29=1,K29="a"),I29,IF(OR(K29=2,K29="b"),I30,""))))</f>
        <v>ΣΠΥΡΑΚΗΣ</v>
      </c>
      <c r="M29" s="32"/>
      <c r="N29" s="50"/>
    </row>
    <row r="30" spans="1:14" ht="9.75" customHeight="1">
      <c r="A30" s="34">
        <v>26</v>
      </c>
      <c r="B30" s="35">
        <f>IF(E30=0,29-D30,0)</f>
        <v>0</v>
      </c>
      <c r="C30" s="36">
        <v>7</v>
      </c>
      <c r="D30" s="35">
        <f t="shared" si="1"/>
        <v>17</v>
      </c>
      <c r="E30" s="35">
        <f>IF($B$2&gt;=C30,1,0)</f>
        <v>1</v>
      </c>
      <c r="F30" s="34" t="str">
        <f>IF($B$2&gt;=C30,"-",VLOOKUP($B30,'[1]Setup'!$H$15:$I$30,2,FALSE))</f>
        <v>-</v>
      </c>
      <c r="G30" s="34">
        <f>IF('[1]Setup'!$B$23="#",0,IF(NOT(F30="-"),VLOOKUP(F30,'[1]AL QD'!$A$3:$E$34,3,FALSE),0))</f>
        <v>0</v>
      </c>
      <c r="H30" s="37" t="str">
        <f>IF($G30&gt;0,VLOOKUP($G30,'[1]AL QD'!$C$3:$E$34,2,FALSE),"bye")</f>
        <v>bye</v>
      </c>
      <c r="I30" s="33">
        <f t="shared" si="0"/>
      </c>
      <c r="J30" s="38">
        <f>IF($G30&gt;0,VLOOKUP($G30,'[1]AL QD'!$C$3:$E$34,3,FALSE),"")</f>
      </c>
      <c r="K30" s="39"/>
      <c r="L30" s="40"/>
      <c r="M30" s="30">
        <v>1</v>
      </c>
      <c r="N30" s="31" t="str">
        <f>UPPER(IF($A$2="R",IF(OR(M30=1,M30="a"),L29,IF(OR(M30=2,M30="b"),L31,"")),IF(OR(M30=1,M30="a"),L29,IF(OR(M30=2,M30="b"),L31,""))))</f>
        <v>ΣΠΥΡΑΚΗΣ</v>
      </c>
    </row>
    <row r="31" spans="1:14" ht="9.75" customHeight="1">
      <c r="A31" s="34">
        <v>27</v>
      </c>
      <c r="B31" s="35">
        <f>IF(E31=0,30-D31,0)</f>
        <v>0</v>
      </c>
      <c r="C31" s="36">
        <f>'[1]Setup'!G10</f>
        <v>12</v>
      </c>
      <c r="D31" s="35">
        <f t="shared" si="1"/>
        <v>18</v>
      </c>
      <c r="E31" s="35">
        <f>IF($B$2&gt;=C31,1,0)</f>
        <v>1</v>
      </c>
      <c r="F31" s="34" t="str">
        <f>IF($B$2&gt;=C31,"-",VLOOKUP($B31,'[1]Setup'!$H$15:$I$30,2,FALSE))</f>
        <v>-</v>
      </c>
      <c r="G31" s="34">
        <f>IF('[1]Setup'!$B$23="#",0,IF(NOT(F31="-"),VLOOKUP(F31,'[1]AL QD'!$A$3:$E$34,3,FALSE),0))</f>
        <v>0</v>
      </c>
      <c r="H31" s="37" t="str">
        <f>IF(G31&gt;0,VLOOKUP(G31,'[1]AL QD'!$C$3:$E$34,2,FALSE),"bye")</f>
        <v>bye</v>
      </c>
      <c r="I31" s="33">
        <f t="shared" si="0"/>
      </c>
      <c r="J31" s="38">
        <f>IF($G31&gt;0,VLOOKUP($G31,'[1]AL QD'!$C$3:$E$34,3,FALSE),"")</f>
      </c>
      <c r="K31" s="41">
        <v>2</v>
      </c>
      <c r="L31" s="31" t="str">
        <f>UPPER(IF($A$2="R",IF(OR(K31=1,K31="a"),G31,IF(OR(K31=2,K31="b"),G32,"")),IF(OR(K31=1,K31="a"),I31,IF(OR(K31=2,K31="b"),I32,""))))</f>
        <v>ΦΩΤΕΙΝΟΠΟΥΛΟΣ</v>
      </c>
      <c r="M31" s="42"/>
      <c r="N31" s="43" t="s">
        <v>14</v>
      </c>
    </row>
    <row r="32" spans="1:14" ht="9.75" customHeight="1">
      <c r="A32" s="34">
        <v>28</v>
      </c>
      <c r="B32" s="45"/>
      <c r="C32" s="46">
        <v>23</v>
      </c>
      <c r="D32" s="45">
        <f t="shared" si="1"/>
        <v>18</v>
      </c>
      <c r="E32" s="45">
        <f>IF($B$2&gt;=C32,1,0)</f>
        <v>0</v>
      </c>
      <c r="F32" s="44">
        <f>'[1]Setup'!G10</f>
        <v>12</v>
      </c>
      <c r="G32" s="34">
        <f>IF('[1]Setup'!$B$23="#",0,IF(F32&gt;0,VLOOKUP(F32,'[1]AL QD'!$A$3:$E$34,3,FALSE),0))</f>
        <v>32646</v>
      </c>
      <c r="H32" s="37" t="str">
        <f>IF(G32&gt;0,VLOOKUP(G32,'[1]AL QD'!$C$3:$E$34,2,FALSE),"bye")</f>
        <v>ΦΩΤΕΙΝΟΠΟΥΛΟΣ ΦΩΤΙΟΣ</v>
      </c>
      <c r="I32" s="56" t="str">
        <f t="shared" si="0"/>
        <v>ΦΩΤΕΙΝΟΠΟΥΛΟΣ</v>
      </c>
      <c r="J32" s="38" t="str">
        <f>IF($G32&gt;0,VLOOKUP($G32,'[1]AL QD'!$C$3:$E$34,3,FALSE),"")</f>
        <v>Σ.Α.ΜΕΣΣΗΝΗΣ</v>
      </c>
      <c r="K32" s="20"/>
      <c r="L32" s="49"/>
      <c r="M32" s="32"/>
      <c r="N32" s="50"/>
    </row>
    <row r="33" spans="1:14" ht="9.75" customHeight="1">
      <c r="A33" s="23">
        <v>29</v>
      </c>
      <c r="B33" s="35"/>
      <c r="C33" s="51"/>
      <c r="D33" s="35">
        <f t="shared" si="1"/>
        <v>18</v>
      </c>
      <c r="E33" s="35">
        <v>0</v>
      </c>
      <c r="F33" s="26">
        <v>8</v>
      </c>
      <c r="G33" s="26">
        <f>IF('[1]Setup'!$B$23="#",0,IF(F33&gt;0,VLOOKUP(F33,'[1]AL QD'!$A$3:$H$34,3,FALSE),0))</f>
        <v>37051</v>
      </c>
      <c r="H33" s="27" t="str">
        <f>IF($G33&gt;0,VLOOKUP(G33,'[1]AL QD'!$C$3:$H$34,2,FALSE),0)</f>
        <v>ΤΣΟΥΚΛΕΡΗΣ ΓΕΩΡΓΙΟΣ</v>
      </c>
      <c r="I33" s="33" t="str">
        <f t="shared" si="0"/>
        <v>ΤΣΟΥΚΛΕΡΗΣ</v>
      </c>
      <c r="J33" s="52" t="str">
        <f>IF($G33&gt;0,VLOOKUP($G33,'[1]AL QD'!$C$3:$E$34,3,FALSE),"")</f>
        <v>Ο.Α.ΚΑΛΑΜΑΤΑΣ</v>
      </c>
      <c r="K33" s="53">
        <v>1</v>
      </c>
      <c r="L33" s="31" t="str">
        <f>UPPER(IF($A$2="R",IF(OR(K33=1,K33="a"),G33,IF(OR(K33=2,K33="b"),G34,"")),IF(OR(K33=1,K33="a"),I33,IF(OR(K33=2,K33="b"),I34,""))))</f>
        <v>ΤΣΟΥΚΛΕΡΗΣ</v>
      </c>
      <c r="M33" s="32"/>
      <c r="N33" s="50"/>
    </row>
    <row r="34" spans="1:14" ht="9.75" customHeight="1">
      <c r="A34" s="34">
        <v>30</v>
      </c>
      <c r="B34" s="35">
        <f>IF(E34=0,31-D34,0)</f>
        <v>0</v>
      </c>
      <c r="C34" s="36">
        <v>8</v>
      </c>
      <c r="D34" s="35">
        <f t="shared" si="1"/>
        <v>19</v>
      </c>
      <c r="E34" s="35">
        <f>IF($B$2&gt;=C34,1,0)</f>
        <v>1</v>
      </c>
      <c r="F34" s="34" t="str">
        <f>IF($B$2&gt;=C34,"-",VLOOKUP($B34,'[1]Setup'!$H$15:$I$30,2,FALSE))</f>
        <v>-</v>
      </c>
      <c r="G34" s="34">
        <f>IF('[1]Setup'!$B$23="#",0,IF(NOT(F34="-"),VLOOKUP(F34,'[1]AL QD'!$A$3:$E$34,3,FALSE),0))</f>
        <v>0</v>
      </c>
      <c r="H34" s="37" t="str">
        <f>IF($G34&gt;0,VLOOKUP($G34,'[1]AL QD'!$C$3:$E$34,2,FALSE),"bye")</f>
        <v>bye</v>
      </c>
      <c r="I34" s="33">
        <f t="shared" si="0"/>
      </c>
      <c r="J34" s="38">
        <f>IF($G34&gt;0,VLOOKUP($G34,'[1]AL QD'!$C$3:$E$34,3,FALSE),"")</f>
      </c>
      <c r="K34" s="39"/>
      <c r="L34" s="40"/>
      <c r="M34" s="30">
        <v>2</v>
      </c>
      <c r="N34" s="31" t="str">
        <f>UPPER(IF($A$2="R",IF(OR(M34=1,M34="a"),L33,IF(OR(M34=2,M34="b"),L35,"")),IF(OR(M34=1,M34="a"),L33,IF(OR(M34=2,M34="b"),L35,""))))</f>
        <v>ΠΑΠΑΝΙΚΟΛΑΟΥ</v>
      </c>
    </row>
    <row r="35" spans="1:14" ht="9.75" customHeight="1">
      <c r="A35" s="34">
        <v>31</v>
      </c>
      <c r="B35" s="35">
        <f>IF(E35=0,32-D35,0)</f>
        <v>0</v>
      </c>
      <c r="C35" s="36">
        <f>'[1]Setup'!G11</f>
        <v>9</v>
      </c>
      <c r="D35" s="35">
        <f t="shared" si="1"/>
        <v>20</v>
      </c>
      <c r="E35" s="35">
        <f>IF($B$2&gt;=C35,1,0)</f>
        <v>1</v>
      </c>
      <c r="F35" s="34" t="str">
        <f>IF($B$2&gt;=C35,"-",VLOOKUP($B35,'[1]Setup'!$H$15:$I$30,2,FALSE))</f>
        <v>-</v>
      </c>
      <c r="G35" s="34">
        <f>IF('[1]Setup'!$B$23="#",0,IF(NOT(F35="-"),VLOOKUP(F35,'[1]AL QD'!$A$3:$E$34,3,FALSE),0))</f>
        <v>0</v>
      </c>
      <c r="H35" s="37" t="str">
        <f>IF(G35&gt;0,VLOOKUP(G35,'[1]AL QD'!$C$3:$E$34,2,FALSE),"bye")</f>
        <v>bye</v>
      </c>
      <c r="I35" s="33">
        <f t="shared" si="0"/>
      </c>
      <c r="J35" s="38">
        <f>IF($G35&gt;0,VLOOKUP($G35,'[1]AL QD'!$C$3:$E$34,3,FALSE),"")</f>
      </c>
      <c r="K35" s="41">
        <v>2</v>
      </c>
      <c r="L35" s="31" t="str">
        <f>UPPER(IF($A$2="R",IF(OR(K35=1,K35="a"),G35,IF(OR(K35=2,K35="b"),G36,"")),IF(OR(K35=1,K35="a"),I35,IF(OR(K35=2,K35="b"),I36,""))))</f>
        <v>ΠΑΠΑΝΙΚΟΛΑΟΥ</v>
      </c>
      <c r="M35" s="42"/>
      <c r="N35" s="43" t="s">
        <v>15</v>
      </c>
    </row>
    <row r="36" spans="1:14" ht="9.75" customHeight="1">
      <c r="A36" s="44">
        <v>32</v>
      </c>
      <c r="B36" s="45"/>
      <c r="C36" s="46">
        <v>24</v>
      </c>
      <c r="D36" s="45">
        <f t="shared" si="1"/>
        <v>20</v>
      </c>
      <c r="E36" s="45">
        <f>IF($B$2&gt;=C36,1,0)</f>
        <v>0</v>
      </c>
      <c r="F36" s="44">
        <f>'[1]Setup'!G11</f>
        <v>9</v>
      </c>
      <c r="G36" s="44">
        <f>IF('[1]Setup'!$B$23="#",0,IF(F36&gt;0,VLOOKUP(F36,'[1]AL QD'!$A$3:$E$34,3,FALSE),0))</f>
        <v>37054</v>
      </c>
      <c r="H36" s="47" t="str">
        <f>IF(G36&gt;0,VLOOKUP(G36,'[1]AL QD'!$C$3:$E$34,2,FALSE),"bye")</f>
        <v>ΠΑΠΑΝΙΚΟΛΑΟΥ ΝΤΥΛΑΝ-ΙΑΣΩΝ</v>
      </c>
      <c r="I36" s="33" t="str">
        <f t="shared" si="0"/>
        <v>ΠΑΠΑΝΙΚΟΛΑΟΥ</v>
      </c>
      <c r="J36" s="48" t="str">
        <f>IF($G36&gt;0,VLOOKUP($G36,'[1]AL QD'!$C$3:$E$34,3,FALSE),"")</f>
        <v>Ο.Α.ΚΑΛΑΜΑΤΑΣ</v>
      </c>
      <c r="K36" s="39"/>
      <c r="L36" s="49"/>
      <c r="N36" s="33"/>
    </row>
    <row r="37" ht="11.25">
      <c r="I37" s="59"/>
    </row>
    <row r="39" spans="8:16" ht="11.25">
      <c r="H39" s="71" t="s">
        <v>9</v>
      </c>
      <c r="I39" s="71"/>
      <c r="J39" s="71"/>
      <c r="N39" s="60" t="s">
        <v>10</v>
      </c>
      <c r="O39" s="61"/>
      <c r="P39" s="62"/>
    </row>
    <row r="40" spans="8:16" ht="11.25">
      <c r="H40" s="63" t="str">
        <f>"1. "&amp;H5</f>
        <v>1. ΤΣΕΚΟΥΡΑΣ ΠΑΝΑΓΙΩΤΗΣ</v>
      </c>
      <c r="J40" s="63" t="str">
        <f>"5. "&amp;H21</f>
        <v>5. ΚΑΡΑΝΑΓΝΩΣΤΗΣ ΚΩΝΣΤΑΝΤΙΝΟΣ</v>
      </c>
      <c r="N40" s="72"/>
      <c r="O40" s="72"/>
      <c r="P40" s="72"/>
    </row>
    <row r="41" spans="8:10" ht="11.25">
      <c r="H41" s="63" t="str">
        <f>"2. "&amp;H9</f>
        <v>2. ΜΠΑΜΙΑΣ ΒΑΣΙΛΕΙΟΣ</v>
      </c>
      <c r="J41" s="63" t="str">
        <f>"6. "&amp;H25</f>
        <v>6. ΝΑΣΙΑΚΟΣ ΓΕΩΡΓΙΟΣ</v>
      </c>
    </row>
    <row r="42" spans="8:10" ht="11.25">
      <c r="H42" s="63" t="str">
        <f>"3. "&amp;H13</f>
        <v>3. ΤΣΙΧΛΗΣ ΒΑΣΙΛΕΙΟΣ</v>
      </c>
      <c r="J42" s="63" t="str">
        <f>"7. "&amp;H29</f>
        <v>7. ΣΠΥΡΑΚΗΣ ΓΕΩΡΓΙΟΣ</v>
      </c>
    </row>
    <row r="43" spans="8:10" ht="11.25">
      <c r="H43" s="63" t="str">
        <f>"4. "&amp;H17</f>
        <v>4. ΠΑΣΤΡΑΣ ΑΝΑΣΤΑΣΙΟΣ</v>
      </c>
      <c r="J43" s="63" t="str">
        <f>"8. "&amp;H33</f>
        <v>8. ΤΣΟΥΚΛΕΡΗΣ ΓΕΩΡΓΙΟΣ</v>
      </c>
    </row>
    <row r="48" ht="11.25">
      <c r="H48" s="65"/>
    </row>
    <row r="49" ht="11.25">
      <c r="H49" s="65"/>
    </row>
    <row r="50" ht="11.25">
      <c r="H50" s="65"/>
    </row>
    <row r="51" ht="11.25">
      <c r="H51" s="9"/>
    </row>
    <row r="52" ht="11.25">
      <c r="H52" s="9"/>
    </row>
    <row r="53" ht="11.25">
      <c r="H53" s="9"/>
    </row>
    <row r="54" ht="11.25">
      <c r="H54" s="9"/>
    </row>
    <row r="55" ht="11.25">
      <c r="H55" s="9"/>
    </row>
    <row r="56" ht="11.25">
      <c r="H56" s="9"/>
    </row>
    <row r="57" ht="11.25">
      <c r="H57" s="9"/>
    </row>
    <row r="58" ht="11.25">
      <c r="H58" s="9"/>
    </row>
    <row r="59" ht="11.25">
      <c r="H59" s="66" t="s">
        <v>11</v>
      </c>
    </row>
    <row r="60" ht="11.25">
      <c r="H60" s="67" t="str">
        <f>IF('[1]Setup'!$B$16&gt;0,I5,"")</f>
        <v>ΤΣΕΚΟΥΡΑΣ</v>
      </c>
    </row>
    <row r="61" ht="11.25">
      <c r="H61" s="67" t="str">
        <f>IF('[1]Setup'!$B$16&gt;1,I9,"")</f>
        <v>ΜΠΑΜΙΑΣ</v>
      </c>
    </row>
    <row r="62" ht="11.25">
      <c r="H62" s="67" t="str">
        <f>IF('[1]Setup'!$B$16&gt;2,I13,"")</f>
        <v>ΤΣΙΧΛΗΣ</v>
      </c>
    </row>
    <row r="63" ht="11.25">
      <c r="H63" s="67" t="str">
        <f>IF('[1]Setup'!$B$16&gt;3,I17,"")</f>
        <v>ΠΑΣΤΡΑΣ</v>
      </c>
    </row>
    <row r="64" ht="11.25">
      <c r="H64" s="67" t="str">
        <f>IF('[1]Setup'!$B$16&gt;4,I21,"")</f>
        <v>ΚΑΡΑΝΑΓΝΩΣΤΗΣ</v>
      </c>
    </row>
    <row r="65" ht="11.25">
      <c r="H65" s="67" t="str">
        <f>IF('[1]Setup'!$B$16&gt;5,I25,"")</f>
        <v>ΝΑΣΙΑΚΟΣ</v>
      </c>
    </row>
    <row r="66" ht="11.25">
      <c r="H66" s="67" t="str">
        <f>IF('[1]Setup'!$B$16&gt;6,I29,"")</f>
        <v>ΣΠΥΡΑΚΗΣ</v>
      </c>
    </row>
    <row r="67" ht="11.25">
      <c r="H67" s="68" t="str">
        <f>IF('[1]Setup'!$B$16&gt;7,I33,"")</f>
        <v>ΤΣΟΥΚΛΕΡΗΣ</v>
      </c>
    </row>
  </sheetData>
  <sheetProtection/>
  <mergeCells count="4">
    <mergeCell ref="A1:L1"/>
    <mergeCell ref="H3:J3"/>
    <mergeCell ref="H39:J39"/>
    <mergeCell ref="N40:P40"/>
  </mergeCells>
  <conditionalFormatting sqref="L5">
    <cfRule type="expression" priority="24" dxfId="24">
      <formula>MATCH(L5,$H$60:$H$67,0)</formula>
    </cfRule>
  </conditionalFormatting>
  <conditionalFormatting sqref="L7">
    <cfRule type="expression" priority="23" dxfId="24">
      <formula>MATCH(L7,$H$60:$H$67,0)</formula>
    </cfRule>
  </conditionalFormatting>
  <conditionalFormatting sqref="L9">
    <cfRule type="expression" priority="22" dxfId="24">
      <formula>MATCH(L9,$H$60:$H$67,0)</formula>
    </cfRule>
  </conditionalFormatting>
  <conditionalFormatting sqref="L11">
    <cfRule type="expression" priority="21" dxfId="24">
      <formula>MATCH(L11,$H$60:$H$67,0)</formula>
    </cfRule>
  </conditionalFormatting>
  <conditionalFormatting sqref="L13">
    <cfRule type="expression" priority="20" dxfId="24">
      <formula>MATCH(L13,$H$60:$H$67,0)</formula>
    </cfRule>
  </conditionalFormatting>
  <conditionalFormatting sqref="L15">
    <cfRule type="expression" priority="19" dxfId="24">
      <formula>MATCH(L15,$H$60:$H$67,0)</formula>
    </cfRule>
  </conditionalFormatting>
  <conditionalFormatting sqref="L17">
    <cfRule type="expression" priority="18" dxfId="24">
      <formula>MATCH(L17,$H$60:$H$67,0)</formula>
    </cfRule>
  </conditionalFormatting>
  <conditionalFormatting sqref="L19">
    <cfRule type="expression" priority="17" dxfId="24">
      <formula>MATCH(L19,$H$60:$H$67,0)</formula>
    </cfRule>
  </conditionalFormatting>
  <conditionalFormatting sqref="L21">
    <cfRule type="expression" priority="16" dxfId="24">
      <formula>MATCH(L21,$H$60:$H$67,0)</formula>
    </cfRule>
  </conditionalFormatting>
  <conditionalFormatting sqref="L23">
    <cfRule type="expression" priority="15" dxfId="24">
      <formula>MATCH(L23,$H$60:$H$67,0)</formula>
    </cfRule>
  </conditionalFormatting>
  <conditionalFormatting sqref="L25">
    <cfRule type="expression" priority="14" dxfId="24">
      <formula>MATCH(L25,$H$60:$H$67,0)</formula>
    </cfRule>
  </conditionalFormatting>
  <conditionalFormatting sqref="L27">
    <cfRule type="expression" priority="13" dxfId="24">
      <formula>MATCH(L27,$H$60:$H$67,0)</formula>
    </cfRule>
  </conditionalFormatting>
  <conditionalFormatting sqref="L29">
    <cfRule type="expression" priority="12" dxfId="24">
      <formula>MATCH(L29,$H$60:$H$67,0)</formula>
    </cfRule>
  </conditionalFormatting>
  <conditionalFormatting sqref="L31">
    <cfRule type="expression" priority="11" dxfId="24">
      <formula>MATCH(L31,$H$60:$H$67,0)</formula>
    </cfRule>
  </conditionalFormatting>
  <conditionalFormatting sqref="L33">
    <cfRule type="expression" priority="10" dxfId="24">
      <formula>MATCH(L33,$H$60:$H$67,0)</formula>
    </cfRule>
  </conditionalFormatting>
  <conditionalFormatting sqref="L35">
    <cfRule type="expression" priority="9" dxfId="24">
      <formula>MATCH(L35,$H$60:$H$67,0)</formula>
    </cfRule>
  </conditionalFormatting>
  <conditionalFormatting sqref="N34">
    <cfRule type="expression" priority="8" dxfId="24">
      <formula>MATCH(N34,$H$60:$H$67,0)</formula>
    </cfRule>
  </conditionalFormatting>
  <conditionalFormatting sqref="N30">
    <cfRule type="expression" priority="7" dxfId="24">
      <formula>MATCH(N30,$H$60:$H$67,0)</formula>
    </cfRule>
  </conditionalFormatting>
  <conditionalFormatting sqref="N26">
    <cfRule type="expression" priority="6" dxfId="24">
      <formula>MATCH(N26,$H$60:$H$67,0)</formula>
    </cfRule>
  </conditionalFormatting>
  <conditionalFormatting sqref="N22">
    <cfRule type="expression" priority="5" dxfId="24">
      <formula>MATCH(N22,$H$60:$H$67,0)</formula>
    </cfRule>
  </conditionalFormatting>
  <conditionalFormatting sqref="N18">
    <cfRule type="expression" priority="4" dxfId="24">
      <formula>MATCH(N18,$H$60:$H$67,0)</formula>
    </cfRule>
  </conditionalFormatting>
  <conditionalFormatting sqref="N14">
    <cfRule type="expression" priority="3" dxfId="24">
      <formula>MATCH(N14,$H$60:$H$67,0)</formula>
    </cfRule>
  </conditionalFormatting>
  <conditionalFormatting sqref="N10">
    <cfRule type="expression" priority="2" dxfId="24">
      <formula>MATCH(N10,$H$60:$H$67,0)</formula>
    </cfRule>
  </conditionalFormatting>
  <conditionalFormatting sqref="N6">
    <cfRule type="expression" priority="1" dxfId="24">
      <formula>MATCH(N6,$H$60:$H$67,0)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TennisClub</dc:creator>
  <cp:keywords/>
  <dc:description/>
  <cp:lastModifiedBy>Guest</cp:lastModifiedBy>
  <dcterms:created xsi:type="dcterms:W3CDTF">2015-03-06T16:20:53Z</dcterms:created>
  <dcterms:modified xsi:type="dcterms:W3CDTF">2015-03-09T15:20:53Z</dcterms:modified>
  <cp:category/>
  <cp:version/>
  <cp:contentType/>
  <cp:contentStatus/>
</cp:coreProperties>
</file>