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935"/>
  </bookViews>
  <sheets>
    <sheet name="MD" sheetId="1" r:id="rId1"/>
  </sheets>
  <externalReferences>
    <externalReference r:id="rId2"/>
  </externalReferences>
  <definedNames>
    <definedName name="_xlnm._FilterDatabase" localSheetId="0" hidden="1">MD!$A$4:$U$36</definedName>
    <definedName name="_xlnm.Print_Area" localSheetId="0">MD!$A$1:$T$43</definedName>
  </definedNames>
  <calcPr calcId="124519" iterate="1"/>
</workbook>
</file>

<file path=xl/calcChain.xml><?xml version="1.0" encoding="utf-8"?>
<calcChain xmlns="http://schemas.openxmlformats.org/spreadsheetml/2006/main">
  <c r="J67" i="1"/>
  <c r="J66"/>
  <c r="J65"/>
  <c r="J64"/>
  <c r="J63"/>
  <c r="J62"/>
  <c r="J61"/>
  <c r="J60"/>
  <c r="L43"/>
  <c r="J43"/>
  <c r="R42"/>
  <c r="L42"/>
  <c r="J42"/>
  <c r="L41"/>
  <c r="J41"/>
  <c r="L40"/>
  <c r="J40"/>
  <c r="AA36"/>
  <c r="G36"/>
  <c r="I36" s="1"/>
  <c r="AB35"/>
  <c r="C35"/>
  <c r="AA34"/>
  <c r="AC33"/>
  <c r="AA32"/>
  <c r="AB31"/>
  <c r="AA30"/>
  <c r="AD29"/>
  <c r="B29"/>
  <c r="C30" s="1"/>
  <c r="AA28"/>
  <c r="B28"/>
  <c r="G28" s="1"/>
  <c r="AB27"/>
  <c r="AA26"/>
  <c r="AC25"/>
  <c r="AA24"/>
  <c r="AB23"/>
  <c r="AA22"/>
  <c r="AD21"/>
  <c r="B21"/>
  <c r="C22" s="1"/>
  <c r="AA20"/>
  <c r="B20"/>
  <c r="G20" s="1"/>
  <c r="AB19"/>
  <c r="C19"/>
  <c r="AA18"/>
  <c r="AC17"/>
  <c r="AA16"/>
  <c r="AB15"/>
  <c r="AA14"/>
  <c r="B13"/>
  <c r="G13" s="1"/>
  <c r="AA12"/>
  <c r="B12"/>
  <c r="G12" s="1"/>
  <c r="AB11"/>
  <c r="AA10"/>
  <c r="AC9"/>
  <c r="AA8"/>
  <c r="AB7"/>
  <c r="AA6"/>
  <c r="C6"/>
  <c r="G5"/>
  <c r="H5" s="1"/>
  <c r="T2"/>
  <c r="R2"/>
  <c r="P2"/>
  <c r="N2"/>
  <c r="I2"/>
  <c r="B2"/>
  <c r="G32" s="1"/>
  <c r="T1"/>
  <c r="A1"/>
  <c r="X36" l="1"/>
  <c r="L36"/>
  <c r="J36"/>
  <c r="Y36" s="1"/>
  <c r="I32"/>
  <c r="H32"/>
  <c r="F32"/>
  <c r="I12"/>
  <c r="H12"/>
  <c r="F12"/>
  <c r="I13"/>
  <c r="H13"/>
  <c r="F13"/>
  <c r="H20"/>
  <c r="F20"/>
  <c r="I20"/>
  <c r="H28"/>
  <c r="F28"/>
  <c r="I28"/>
  <c r="I5"/>
  <c r="E8"/>
  <c r="C14"/>
  <c r="E14"/>
  <c r="G14"/>
  <c r="E18"/>
  <c r="G18"/>
  <c r="E19"/>
  <c r="G19"/>
  <c r="G21"/>
  <c r="E22"/>
  <c r="G22"/>
  <c r="E26"/>
  <c r="C27"/>
  <c r="E27"/>
  <c r="G27"/>
  <c r="G29"/>
  <c r="E30"/>
  <c r="G30"/>
  <c r="E34"/>
  <c r="E35"/>
  <c r="G35"/>
  <c r="F36"/>
  <c r="H36"/>
  <c r="F5"/>
  <c r="E6"/>
  <c r="D6" s="1"/>
  <c r="G6"/>
  <c r="E10"/>
  <c r="G10"/>
  <c r="C11"/>
  <c r="E11" s="1"/>
  <c r="G11"/>
  <c r="E16"/>
  <c r="E24"/>
  <c r="E32"/>
  <c r="I10" l="1"/>
  <c r="H10"/>
  <c r="F10"/>
  <c r="I6"/>
  <c r="H6"/>
  <c r="F6"/>
  <c r="H27"/>
  <c r="F27"/>
  <c r="I27"/>
  <c r="H19"/>
  <c r="F19"/>
  <c r="I19"/>
  <c r="H18"/>
  <c r="F18"/>
  <c r="I18"/>
  <c r="H14"/>
  <c r="F14"/>
  <c r="I14"/>
  <c r="X28"/>
  <c r="L28"/>
  <c r="J28"/>
  <c r="Y28" s="1"/>
  <c r="K28"/>
  <c r="N27" s="1"/>
  <c r="X13"/>
  <c r="L13"/>
  <c r="J13"/>
  <c r="Y13" s="1"/>
  <c r="K32"/>
  <c r="X32"/>
  <c r="L32"/>
  <c r="J32"/>
  <c r="Y32" s="1"/>
  <c r="I11"/>
  <c r="H11"/>
  <c r="F11"/>
  <c r="D7"/>
  <c r="B6"/>
  <c r="H35"/>
  <c r="F35"/>
  <c r="I35"/>
  <c r="H30"/>
  <c r="F30"/>
  <c r="I30"/>
  <c r="H29"/>
  <c r="F29"/>
  <c r="I29"/>
  <c r="H22"/>
  <c r="F22"/>
  <c r="I22"/>
  <c r="H21"/>
  <c r="F21"/>
  <c r="I21"/>
  <c r="X5"/>
  <c r="L5"/>
  <c r="J5"/>
  <c r="Y5" s="1"/>
  <c r="K5"/>
  <c r="N5" s="1"/>
  <c r="X20"/>
  <c r="L20"/>
  <c r="J20"/>
  <c r="Y20" s="1"/>
  <c r="K20"/>
  <c r="N19" s="1"/>
  <c r="X12"/>
  <c r="L12"/>
  <c r="J12"/>
  <c r="Y12" s="1"/>
  <c r="K36"/>
  <c r="N35" s="1"/>
  <c r="AA35" l="1"/>
  <c r="P34"/>
  <c r="AB34" s="1"/>
  <c r="X22"/>
  <c r="L22"/>
  <c r="J22"/>
  <c r="Y22" s="1"/>
  <c r="K22"/>
  <c r="X30"/>
  <c r="L30"/>
  <c r="J30"/>
  <c r="Y30" s="1"/>
  <c r="K30"/>
  <c r="K11"/>
  <c r="X11"/>
  <c r="L11"/>
  <c r="J11"/>
  <c r="Y11" s="1"/>
  <c r="X18"/>
  <c r="L18"/>
  <c r="J18"/>
  <c r="Y18" s="1"/>
  <c r="K18"/>
  <c r="X27"/>
  <c r="L27"/>
  <c r="J27"/>
  <c r="Y27" s="1"/>
  <c r="K27"/>
  <c r="K10"/>
  <c r="X10"/>
  <c r="L10"/>
  <c r="J10"/>
  <c r="Y10" s="1"/>
  <c r="K12"/>
  <c r="N11" s="1"/>
  <c r="K13"/>
  <c r="N13" s="1"/>
  <c r="AA19"/>
  <c r="P18"/>
  <c r="P6"/>
  <c r="AA5"/>
  <c r="X21"/>
  <c r="L21"/>
  <c r="J21"/>
  <c r="Y21" s="1"/>
  <c r="K21"/>
  <c r="N21" s="1"/>
  <c r="AA21" s="1"/>
  <c r="X29"/>
  <c r="L29"/>
  <c r="J29"/>
  <c r="Y29" s="1"/>
  <c r="K29"/>
  <c r="N29" s="1"/>
  <c r="AA29" s="1"/>
  <c r="X35"/>
  <c r="L35"/>
  <c r="J35"/>
  <c r="Y35" s="1"/>
  <c r="K35"/>
  <c r="D8"/>
  <c r="B7"/>
  <c r="G7" s="1"/>
  <c r="AA27"/>
  <c r="P26"/>
  <c r="AB26" s="1"/>
  <c r="X14"/>
  <c r="L14"/>
  <c r="J14"/>
  <c r="Y14" s="1"/>
  <c r="K14"/>
  <c r="X19"/>
  <c r="L19"/>
  <c r="J19"/>
  <c r="Y19" s="1"/>
  <c r="K19"/>
  <c r="K6"/>
  <c r="X6"/>
  <c r="L6"/>
  <c r="J6"/>
  <c r="Y6" s="1"/>
  <c r="I7" l="1"/>
  <c r="H7"/>
  <c r="F7"/>
  <c r="D9"/>
  <c r="B8"/>
  <c r="G8" s="1"/>
  <c r="AB6"/>
  <c r="R8"/>
  <c r="P10"/>
  <c r="AB10" s="1"/>
  <c r="AA11"/>
  <c r="R16"/>
  <c r="AC16" s="1"/>
  <c r="AB18"/>
  <c r="P14"/>
  <c r="AB14" s="1"/>
  <c r="AA13"/>
  <c r="T12" l="1"/>
  <c r="AC8"/>
  <c r="H8"/>
  <c r="F8"/>
  <c r="I8"/>
  <c r="X7"/>
  <c r="L7"/>
  <c r="J7"/>
  <c r="Y7" s="1"/>
  <c r="B9"/>
  <c r="G9" s="1"/>
  <c r="D10"/>
  <c r="X8" l="1"/>
  <c r="L8"/>
  <c r="J8"/>
  <c r="Y8" s="1"/>
  <c r="AD12"/>
  <c r="T20"/>
  <c r="AD20" s="1"/>
  <c r="B10"/>
  <c r="D11"/>
  <c r="H9"/>
  <c r="F9"/>
  <c r="I9"/>
  <c r="K7"/>
  <c r="N7" s="1"/>
  <c r="AA7" s="1"/>
  <c r="X9" l="1"/>
  <c r="L9"/>
  <c r="J9"/>
  <c r="Y9" s="1"/>
  <c r="K9"/>
  <c r="N9" s="1"/>
  <c r="AA9" s="1"/>
  <c r="D12"/>
  <c r="D13" s="1"/>
  <c r="D14" s="1"/>
  <c r="B11"/>
  <c r="K8"/>
  <c r="B14" l="1"/>
  <c r="D15"/>
  <c r="B15" l="1"/>
  <c r="G15" s="1"/>
  <c r="D16"/>
  <c r="H15" l="1"/>
  <c r="F15"/>
  <c r="I15"/>
  <c r="D17"/>
  <c r="B16"/>
  <c r="G16" s="1"/>
  <c r="X15" l="1"/>
  <c r="L15"/>
  <c r="J15"/>
  <c r="Y15" s="1"/>
  <c r="I16"/>
  <c r="H16"/>
  <c r="F16"/>
  <c r="D18"/>
  <c r="B17"/>
  <c r="G17" s="1"/>
  <c r="X16" l="1"/>
  <c r="L16"/>
  <c r="J16"/>
  <c r="Y16" s="1"/>
  <c r="I17"/>
  <c r="H17"/>
  <c r="F17"/>
  <c r="D19"/>
  <c r="B18"/>
  <c r="K15"/>
  <c r="X17" l="1"/>
  <c r="L17"/>
  <c r="J17"/>
  <c r="Y17" s="1"/>
  <c r="K16"/>
  <c r="N15" s="1"/>
  <c r="AA15" s="1"/>
  <c r="B19"/>
  <c r="D20"/>
  <c r="D21" s="1"/>
  <c r="D22" s="1"/>
  <c r="B22" l="1"/>
  <c r="D23"/>
  <c r="K17"/>
  <c r="N17" s="1"/>
  <c r="AA17" s="1"/>
  <c r="B23" l="1"/>
  <c r="G23" s="1"/>
  <c r="D24"/>
  <c r="H23" l="1"/>
  <c r="F23"/>
  <c r="I23"/>
  <c r="D25"/>
  <c r="B24"/>
  <c r="G24" s="1"/>
  <c r="I24" l="1"/>
  <c r="H24"/>
  <c r="F24"/>
  <c r="X23"/>
  <c r="L23"/>
  <c r="J23"/>
  <c r="Y23" s="1"/>
  <c r="K23"/>
  <c r="N23" s="1"/>
  <c r="D26"/>
  <c r="B25"/>
  <c r="G25" s="1"/>
  <c r="I25" l="1"/>
  <c r="H25"/>
  <c r="F25"/>
  <c r="AA23"/>
  <c r="P22"/>
  <c r="X24"/>
  <c r="L24"/>
  <c r="J24"/>
  <c r="Y24" s="1"/>
  <c r="D27"/>
  <c r="B26"/>
  <c r="G26" s="1"/>
  <c r="H26" l="1"/>
  <c r="F26"/>
  <c r="I26"/>
  <c r="R24"/>
  <c r="AC24" s="1"/>
  <c r="AB22"/>
  <c r="X25"/>
  <c r="L25"/>
  <c r="J25"/>
  <c r="Y25" s="1"/>
  <c r="B27"/>
  <c r="D28"/>
  <c r="D29" s="1"/>
  <c r="D30" s="1"/>
  <c r="K24"/>
  <c r="B30" l="1"/>
  <c r="D31"/>
  <c r="X26"/>
  <c r="L26"/>
  <c r="J26"/>
  <c r="Y26" s="1"/>
  <c r="K25"/>
  <c r="B31" l="1"/>
  <c r="G31" s="1"/>
  <c r="D32"/>
  <c r="K26"/>
  <c r="N25" s="1"/>
  <c r="AA25" s="1"/>
  <c r="H31" l="1"/>
  <c r="F31"/>
  <c r="I31"/>
  <c r="D33"/>
  <c r="B32"/>
  <c r="X31" l="1"/>
  <c r="L31"/>
  <c r="J31"/>
  <c r="Y31" s="1"/>
  <c r="K31"/>
  <c r="N31" s="1"/>
  <c r="D34"/>
  <c r="B33"/>
  <c r="G33" s="1"/>
  <c r="AA31" l="1"/>
  <c r="P30"/>
  <c r="D35"/>
  <c r="B34"/>
  <c r="G34" s="1"/>
  <c r="I33"/>
  <c r="H33"/>
  <c r="F33"/>
  <c r="X33" l="1"/>
  <c r="L33"/>
  <c r="J33"/>
  <c r="Y33" s="1"/>
  <c r="D36"/>
  <c r="B35"/>
  <c r="H34"/>
  <c r="F34"/>
  <c r="I34"/>
  <c r="R32"/>
  <c r="AB30"/>
  <c r="X34" l="1"/>
  <c r="L34"/>
  <c r="J34"/>
  <c r="Y34" s="1"/>
  <c r="K34"/>
  <c r="N33" s="1"/>
  <c r="AA33" s="1"/>
  <c r="K33"/>
  <c r="AC32"/>
  <c r="T28"/>
  <c r="AD28" s="1"/>
</calcChain>
</file>

<file path=xl/sharedStrings.xml><?xml version="1.0" encoding="utf-8"?>
<sst xmlns="http://schemas.openxmlformats.org/spreadsheetml/2006/main" count="39" uniqueCount="30">
  <si>
    <t>2 &amp; w</t>
  </si>
  <si>
    <t>α/α</t>
  </si>
  <si>
    <t>ByeOrder</t>
  </si>
  <si>
    <t>ByeSum</t>
  </si>
  <si>
    <t>ByeCnt</t>
  </si>
  <si>
    <t>από</t>
  </si>
  <si>
    <t>seed</t>
  </si>
  <si>
    <t>Pts</t>
  </si>
  <si>
    <t xml:space="preserve">  Α.Μ.  </t>
  </si>
  <si>
    <t>Ονοματεπώνυμο</t>
  </si>
  <si>
    <t>επώνυμο</t>
  </si>
  <si>
    <t>Σύλλογος</t>
  </si>
  <si>
    <t xml:space="preserve"> </t>
  </si>
  <si>
    <t>40 41</t>
  </si>
  <si>
    <t>40  40</t>
  </si>
  <si>
    <t>64  63</t>
  </si>
  <si>
    <t>41  40</t>
  </si>
  <si>
    <t>53  40</t>
  </si>
  <si>
    <t>42  53</t>
  </si>
  <si>
    <t>41  54(4)</t>
  </si>
  <si>
    <t>63  63</t>
  </si>
  <si>
    <t>42  40</t>
  </si>
  <si>
    <t>42  42</t>
  </si>
  <si>
    <t>42  04  10-8</t>
  </si>
  <si>
    <t>41  42</t>
  </si>
  <si>
    <t>26  61  63</t>
  </si>
  <si>
    <t>40  42</t>
  </si>
  <si>
    <t>seeded players</t>
  </si>
  <si>
    <t>επιδιαιτητής</t>
  </si>
  <si>
    <t>BoldPlayers</t>
  </si>
</sst>
</file>

<file path=xl/styles.xml><?xml version="1.0" encoding="utf-8"?>
<styleSheet xmlns="http://schemas.openxmlformats.org/spreadsheetml/2006/main">
  <fonts count="31">
    <font>
      <sz val="10"/>
      <name val="Arial"/>
      <family val="2"/>
      <charset val="161"/>
    </font>
    <font>
      <b/>
      <sz val="12"/>
      <color indexed="10"/>
      <name val="Arial"/>
      <family val="2"/>
      <charset val="161"/>
    </font>
    <font>
      <sz val="10"/>
      <name val="Arial"/>
      <family val="2"/>
      <charset val="161"/>
    </font>
    <font>
      <b/>
      <u/>
      <sz val="13"/>
      <name val="Arial"/>
      <family val="2"/>
      <charset val="161"/>
    </font>
    <font>
      <b/>
      <sz val="16"/>
      <name val="Arial"/>
      <family val="2"/>
      <charset val="161"/>
    </font>
    <font>
      <sz val="13"/>
      <name val="Arial"/>
      <family val="2"/>
      <charset val="161"/>
    </font>
    <font>
      <sz val="8"/>
      <color indexed="55"/>
      <name val="Arial"/>
      <family val="2"/>
      <charset val="161"/>
    </font>
    <font>
      <sz val="8"/>
      <color indexed="23"/>
      <name val="Arial"/>
      <family val="2"/>
      <charset val="161"/>
    </font>
    <font>
      <sz val="10"/>
      <color indexed="23"/>
      <name val="Arial"/>
      <family val="2"/>
      <charset val="161"/>
    </font>
    <font>
      <sz val="8"/>
      <name val="Arial"/>
      <family val="2"/>
      <charset val="161"/>
    </font>
    <font>
      <sz val="6"/>
      <name val="Arial"/>
      <family val="2"/>
      <charset val="161"/>
    </font>
    <font>
      <u/>
      <sz val="8"/>
      <name val="Arial"/>
      <family val="2"/>
      <charset val="161"/>
    </font>
    <font>
      <u/>
      <sz val="6"/>
      <color indexed="55"/>
      <name val="Arial"/>
      <family val="2"/>
      <charset val="161"/>
    </font>
    <font>
      <u/>
      <sz val="8"/>
      <color indexed="55"/>
      <name val="Arial"/>
      <family val="2"/>
      <charset val="161"/>
    </font>
    <font>
      <b/>
      <sz val="6"/>
      <color indexed="12"/>
      <name val="Arial"/>
      <family val="2"/>
      <charset val="161"/>
    </font>
    <font>
      <b/>
      <sz val="6"/>
      <name val="Arial"/>
      <family val="2"/>
      <charset val="161"/>
    </font>
    <font>
      <b/>
      <sz val="8"/>
      <color indexed="12"/>
      <name val="Arial"/>
      <family val="2"/>
      <charset val="161"/>
    </font>
    <font>
      <b/>
      <sz val="10"/>
      <color indexed="12"/>
      <name val="Arial"/>
      <family val="2"/>
      <charset val="161"/>
    </font>
    <font>
      <sz val="6"/>
      <color indexed="55"/>
      <name val="Arial"/>
      <family val="2"/>
      <charset val="161"/>
    </font>
    <font>
      <sz val="7"/>
      <name val="Arial"/>
      <family val="2"/>
      <charset val="161"/>
    </font>
    <font>
      <b/>
      <sz val="8"/>
      <name val="Arial"/>
      <family val="2"/>
      <charset val="161"/>
    </font>
    <font>
      <b/>
      <sz val="7"/>
      <name val="Arial"/>
      <family val="2"/>
      <charset val="161"/>
    </font>
    <font>
      <b/>
      <sz val="10"/>
      <name val="Arial"/>
      <family val="2"/>
      <charset val="161"/>
    </font>
    <font>
      <sz val="9"/>
      <name val="Arial"/>
      <family val="2"/>
      <charset val="161"/>
    </font>
    <font>
      <i/>
      <sz val="7"/>
      <name val="Arial"/>
      <family val="2"/>
      <charset val="161"/>
    </font>
    <font>
      <b/>
      <i/>
      <sz val="7"/>
      <name val="Arial"/>
      <family val="2"/>
      <charset val="161"/>
    </font>
    <font>
      <i/>
      <sz val="7"/>
      <color indexed="55"/>
      <name val="Arial"/>
      <family val="2"/>
      <charset val="161"/>
    </font>
    <font>
      <i/>
      <sz val="10"/>
      <name val="Arial"/>
      <family val="2"/>
      <charset val="161"/>
    </font>
    <font>
      <b/>
      <i/>
      <u/>
      <sz val="7"/>
      <color indexed="18"/>
      <name val="Arial"/>
      <family val="2"/>
      <charset val="161"/>
    </font>
    <font>
      <i/>
      <u/>
      <sz val="7"/>
      <name val="Arial"/>
      <family val="2"/>
      <charset val="161"/>
    </font>
    <font>
      <b/>
      <i/>
      <u/>
      <sz val="7"/>
      <color indexed="55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38">
    <xf numFmtId="0" fontId="0" fillId="0" borderId="0" xfId="0"/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Alignment="1" applyProtection="1">
      <alignment vertical="center"/>
      <protection locked="0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NumberFormat="1" applyFont="1" applyFill="1" applyAlignment="1" applyProtection="1">
      <alignment vertical="center"/>
      <protection locked="0"/>
    </xf>
    <xf numFmtId="0" fontId="9" fillId="0" borderId="0" xfId="0" applyNumberFormat="1" applyFont="1" applyFill="1" applyAlignment="1" applyProtection="1">
      <alignment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10" fillId="0" borderId="0" xfId="0" applyNumberFormat="1" applyFont="1" applyFill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9" fillId="4" borderId="1" xfId="0" applyNumberFormat="1" applyFont="1" applyFill="1" applyBorder="1" applyAlignment="1" applyProtection="1">
      <alignment horizontal="center" vertical="center"/>
    </xf>
    <xf numFmtId="0" fontId="15" fillId="4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Alignment="1" applyProtection="1">
      <alignment horizontal="center" vertical="center"/>
      <protection locked="0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vertical="center"/>
    </xf>
    <xf numFmtId="0" fontId="22" fillId="0" borderId="2" xfId="0" applyNumberFormat="1" applyFont="1" applyFill="1" applyBorder="1" applyAlignment="1" applyProtection="1">
      <alignment horizontal="left" vertical="center"/>
    </xf>
    <xf numFmtId="0" fontId="18" fillId="3" borderId="3" xfId="0" applyNumberFormat="1" applyFont="1" applyFill="1" applyBorder="1" applyAlignment="1" applyProtection="1">
      <alignment horizontal="center" vertical="center"/>
      <protection locked="0"/>
    </xf>
    <xf numFmtId="0" fontId="23" fillId="0" borderId="4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NumberFormat="1" applyFont="1" applyFill="1" applyAlignment="1" applyProtection="1">
      <alignment vertical="center"/>
      <protection locked="0"/>
    </xf>
    <xf numFmtId="0" fontId="6" fillId="0" borderId="5" xfId="0" applyNumberFormat="1" applyFont="1" applyFill="1" applyBorder="1" applyAlignment="1" applyProtection="1">
      <alignment vertical="center"/>
      <protection locked="0"/>
    </xf>
    <xf numFmtId="0" fontId="6" fillId="0" borderId="6" xfId="0" applyNumberFormat="1" applyFont="1" applyFill="1" applyBorder="1" applyAlignment="1" applyProtection="1">
      <alignment vertical="center"/>
      <protection locked="0"/>
    </xf>
    <xf numFmtId="0" fontId="6" fillId="0" borderId="3" xfId="0" applyNumberFormat="1" applyFont="1" applyFill="1" applyBorder="1" applyAlignment="1" applyProtection="1">
      <alignment vertical="center"/>
      <protection locked="0"/>
    </xf>
    <xf numFmtId="0" fontId="19" fillId="0" borderId="4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 vertical="center"/>
    </xf>
    <xf numFmtId="0" fontId="19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vertical="center"/>
    </xf>
    <xf numFmtId="0" fontId="2" fillId="0" borderId="7" xfId="0" applyNumberFormat="1" applyFont="1" applyFill="1" applyBorder="1" applyAlignment="1" applyProtection="1">
      <alignment horizontal="left" vertical="center"/>
    </xf>
    <xf numFmtId="0" fontId="18" fillId="0" borderId="8" xfId="0" applyNumberFormat="1" applyFont="1" applyFill="1" applyBorder="1" applyAlignment="1" applyProtection="1">
      <alignment horizontal="center" vertical="center"/>
      <protection locked="0"/>
    </xf>
    <xf numFmtId="0" fontId="23" fillId="0" borderId="6" xfId="0" applyNumberFormat="1" applyFont="1" applyFill="1" applyBorder="1" applyAlignment="1" applyProtection="1">
      <alignment horizontal="left" vertical="center"/>
      <protection locked="0"/>
    </xf>
    <xf numFmtId="0" fontId="6" fillId="0" borderId="4" xfId="0" applyNumberFormat="1" applyFont="1" applyFill="1" applyBorder="1" applyAlignment="1" applyProtection="1">
      <alignment vertical="center"/>
      <protection locked="0"/>
    </xf>
    <xf numFmtId="0" fontId="6" fillId="0" borderId="2" xfId="0" applyNumberFormat="1" applyFont="1" applyFill="1" applyBorder="1" applyAlignment="1" applyProtection="1">
      <alignment vertical="center"/>
      <protection locked="0"/>
    </xf>
    <xf numFmtId="0" fontId="6" fillId="0" borderId="9" xfId="0" applyNumberFormat="1" applyFont="1" applyFill="1" applyBorder="1" applyAlignment="1" applyProtection="1">
      <alignment vertical="center"/>
      <protection locked="0"/>
    </xf>
    <xf numFmtId="0" fontId="19" fillId="0" borderId="5" xfId="0" applyNumberFormat="1" applyFont="1" applyFill="1" applyBorder="1" applyAlignment="1" applyProtection="1">
      <alignment horizontal="center" vertical="center"/>
    </xf>
    <xf numFmtId="0" fontId="19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 applyProtection="1">
      <alignment horizontal="left" vertical="center"/>
    </xf>
    <xf numFmtId="0" fontId="10" fillId="0" borderId="5" xfId="0" applyNumberFormat="1" applyFont="1" applyFill="1" applyBorder="1" applyAlignment="1" applyProtection="1">
      <alignment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6" fillId="0" borderId="10" xfId="0" applyNumberFormat="1" applyFont="1" applyFill="1" applyBorder="1" applyAlignment="1" applyProtection="1">
      <alignment vertical="center"/>
      <protection locked="0"/>
    </xf>
    <xf numFmtId="0" fontId="6" fillId="0" borderId="11" xfId="0" applyNumberFormat="1" applyFont="1" applyFill="1" applyBorder="1" applyAlignment="1" applyProtection="1">
      <alignment vertical="center"/>
      <protection locked="0"/>
    </xf>
    <xf numFmtId="0" fontId="23" fillId="0" borderId="0" xfId="0" applyNumberFormat="1" applyFont="1" applyFill="1" applyAlignment="1" applyProtection="1">
      <alignment horizontal="left" vertical="center"/>
      <protection locked="0"/>
    </xf>
    <xf numFmtId="0" fontId="23" fillId="0" borderId="2" xfId="0" applyNumberFormat="1" applyFont="1" applyFill="1" applyBorder="1" applyAlignment="1" applyProtection="1">
      <alignment horizontal="left" vertical="center"/>
      <protection locked="0"/>
    </xf>
    <xf numFmtId="0" fontId="18" fillId="3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7" xfId="0" applyNumberFormat="1" applyFont="1" applyFill="1" applyBorder="1" applyAlignment="1" applyProtection="1">
      <alignment vertical="center"/>
      <protection locked="0"/>
    </xf>
    <xf numFmtId="0" fontId="18" fillId="3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NumberFormat="1" applyFont="1" applyFill="1" applyBorder="1" applyAlignment="1" applyProtection="1">
      <alignment vertical="center"/>
      <protection locked="0"/>
    </xf>
    <xf numFmtId="0" fontId="23" fillId="0" borderId="5" xfId="0" applyNumberFormat="1" applyFont="1" applyFill="1" applyBorder="1" applyAlignment="1" applyProtection="1">
      <alignment horizontal="left" vertical="center"/>
      <protection locked="0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left" vertical="center"/>
    </xf>
    <xf numFmtId="0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vertical="center"/>
    </xf>
    <xf numFmtId="0" fontId="22" fillId="0" borderId="13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4" xfId="0" applyNumberFormat="1" applyFont="1" applyFill="1" applyBorder="1" applyAlignment="1" applyProtection="1">
      <alignment horizontal="center" vertical="center"/>
    </xf>
    <xf numFmtId="0" fontId="23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left" vertical="center"/>
    </xf>
    <xf numFmtId="0" fontId="23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0" fontId="18" fillId="0" borderId="12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/>
    </xf>
    <xf numFmtId="0" fontId="18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5" borderId="7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  <protection locked="0"/>
    </xf>
    <xf numFmtId="0" fontId="23" fillId="5" borderId="2" xfId="0" applyNumberFormat="1" applyFont="1" applyFill="1" applyBorder="1" applyAlignment="1" applyProtection="1">
      <alignment horizontal="center" vertical="center"/>
      <protection locked="0"/>
    </xf>
    <xf numFmtId="0" fontId="23" fillId="0" borderId="7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NumberFormat="1" applyFont="1" applyFill="1" applyBorder="1" applyAlignment="1" applyProtection="1">
      <alignment vertical="center"/>
      <protection locked="0"/>
    </xf>
    <xf numFmtId="0" fontId="20" fillId="0" borderId="0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Fill="1" applyAlignment="1" applyProtection="1">
      <alignment horizontal="left" vertical="center"/>
      <protection locked="0"/>
    </xf>
    <xf numFmtId="0" fontId="10" fillId="0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NumberFormat="1" applyFont="1" applyFill="1" applyAlignment="1" applyProtection="1">
      <alignment vertical="center"/>
      <protection locked="0"/>
    </xf>
    <xf numFmtId="0" fontId="18" fillId="0" borderId="0" xfId="0" applyNumberFormat="1" applyFont="1" applyFill="1" applyAlignment="1" applyProtection="1">
      <alignment horizontal="center" vertical="center"/>
      <protection locked="0"/>
    </xf>
    <xf numFmtId="0" fontId="9" fillId="0" borderId="0" xfId="0" quotePrefix="1" applyNumberFormat="1" applyFont="1" applyFill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NumberFormat="1" applyFont="1" applyFill="1" applyAlignment="1" applyProtection="1">
      <alignment vertical="center"/>
      <protection locked="0"/>
    </xf>
    <xf numFmtId="0" fontId="24" fillId="0" borderId="0" xfId="0" applyNumberFormat="1" applyFont="1" applyFill="1" applyAlignment="1" applyProtection="1">
      <alignment horizontal="center" vertical="center"/>
      <protection locked="0"/>
    </xf>
    <xf numFmtId="0" fontId="24" fillId="0" borderId="0" xfId="0" applyNumberFormat="1" applyFont="1" applyFill="1" applyAlignment="1" applyProtection="1">
      <alignment horizontal="left" vertical="center"/>
      <protection locked="0"/>
    </xf>
    <xf numFmtId="0" fontId="25" fillId="0" borderId="4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NumberFormat="1" applyFont="1" applyFill="1" applyAlignment="1" applyProtection="1">
      <alignment vertical="center"/>
      <protection locked="0"/>
    </xf>
    <xf numFmtId="0" fontId="24" fillId="0" borderId="0" xfId="0" applyNumberFormat="1" applyFont="1" applyFill="1" applyBorder="1" applyAlignment="1" applyProtection="1">
      <alignment vertical="center"/>
      <protection locked="0"/>
    </xf>
    <xf numFmtId="0" fontId="26" fillId="0" borderId="0" xfId="0" applyNumberFormat="1" applyFont="1" applyFill="1" applyBorder="1" applyAlignment="1" applyProtection="1">
      <alignment vertical="center"/>
      <protection locked="0"/>
    </xf>
    <xf numFmtId="0" fontId="24" fillId="0" borderId="0" xfId="0" quotePrefix="1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7" fillId="0" borderId="0" xfId="0" quotePrefix="1" applyNumberFormat="1" applyFont="1" applyFill="1" applyBorder="1" applyAlignment="1" applyProtection="1">
      <alignment vertical="center"/>
    </xf>
    <xf numFmtId="0" fontId="28" fillId="0" borderId="0" xfId="0" applyNumberFormat="1" applyFont="1" applyFill="1" applyBorder="1" applyAlignment="1" applyProtection="1">
      <alignment vertical="center"/>
      <protection locked="0"/>
    </xf>
    <xf numFmtId="0" fontId="29" fillId="0" borderId="0" xfId="0" applyNumberFormat="1" applyFont="1" applyFill="1" applyBorder="1" applyAlignment="1" applyProtection="1">
      <alignment horizontal="left" vertical="center"/>
    </xf>
    <xf numFmtId="0" fontId="26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Alignment="1" applyProtection="1">
      <alignment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Alignment="1" applyProtection="1">
      <alignment vertical="center"/>
      <protection locked="0"/>
    </xf>
    <xf numFmtId="0" fontId="27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NumberFormat="1" applyFont="1" applyFill="1" applyBorder="1" applyAlignment="1" applyProtection="1">
      <alignment vertical="center"/>
    </xf>
    <xf numFmtId="0" fontId="30" fillId="0" borderId="0" xfId="0" applyNumberFormat="1" applyFont="1" applyFill="1" applyBorder="1" applyAlignment="1" applyProtection="1">
      <alignment horizontal="left" vertical="center"/>
    </xf>
    <xf numFmtId="0" fontId="26" fillId="0" borderId="0" xfId="0" quotePrefix="1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  <protection locked="0"/>
    </xf>
  </cellXfs>
  <cellStyles count="2">
    <cellStyle name="Normal" xfId="0" builtinId="0"/>
    <cellStyle name="Normal 2" xfId="1"/>
  </cellStyles>
  <dxfs count="1"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13;&#915;&#927;&#929;%201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tup"/>
      <sheetName val="AL MD"/>
      <sheetName val="MD"/>
      <sheetName val="tmp"/>
    </sheetNames>
    <definedNames>
      <definedName name="Sheet2pdf"/>
    </definedNames>
    <sheetDataSet>
      <sheetData sheetId="0">
        <row r="3">
          <cell r="B3" t="str">
            <v>EΦΟΑ&amp;ΣΤ'ΕΝΩΣΗ</v>
          </cell>
        </row>
        <row r="4">
          <cell r="B4" t="str">
            <v>3ο Ε3</v>
          </cell>
          <cell r="L4">
            <v>3</v>
          </cell>
          <cell r="Q4">
            <v>0</v>
          </cell>
          <cell r="R4">
            <v>0</v>
          </cell>
        </row>
        <row r="5">
          <cell r="B5" t="str">
            <v>e2-12</v>
          </cell>
          <cell r="L5">
            <v>4</v>
          </cell>
          <cell r="Q5">
            <v>0</v>
          </cell>
          <cell r="R5">
            <v>0</v>
          </cell>
        </row>
        <row r="6">
          <cell r="B6" t="str">
            <v>ΚΕΦΑΛΛΗΝΙΑΚΟΣ ΟΑ</v>
          </cell>
          <cell r="Q6">
            <v>0</v>
          </cell>
          <cell r="R6">
            <v>0</v>
          </cell>
        </row>
        <row r="7">
          <cell r="B7" t="str">
            <v>Α12</v>
          </cell>
          <cell r="L7" t="str">
            <v>6</v>
          </cell>
          <cell r="Q7">
            <v>0</v>
          </cell>
          <cell r="R7">
            <v>0</v>
          </cell>
        </row>
        <row r="8">
          <cell r="B8" t="str">
            <v>13</v>
          </cell>
          <cell r="L8" t="str">
            <v>5</v>
          </cell>
          <cell r="Q8">
            <v>0</v>
          </cell>
          <cell r="R8">
            <v>0</v>
          </cell>
        </row>
        <row r="9">
          <cell r="B9" t="str">
            <v>14 ΣΕΠΤΕΜΒΡΙΟΥ 2014</v>
          </cell>
          <cell r="L9" t="str">
            <v>7</v>
          </cell>
          <cell r="Q9">
            <v>0</v>
          </cell>
          <cell r="R9">
            <v>0</v>
          </cell>
        </row>
        <row r="10">
          <cell r="B10" t="str">
            <v>Χριστόπουλος Κ</v>
          </cell>
          <cell r="L10" t="str">
            <v>8</v>
          </cell>
          <cell r="Q10">
            <v>0</v>
          </cell>
          <cell r="R10">
            <v>0</v>
          </cell>
        </row>
        <row r="11">
          <cell r="Q11">
            <v>0</v>
          </cell>
          <cell r="R11">
            <v>0</v>
          </cell>
        </row>
        <row r="12">
          <cell r="Q12">
            <v>0</v>
          </cell>
          <cell r="R12">
            <v>0</v>
          </cell>
        </row>
        <row r="13">
          <cell r="Q13">
            <v>0</v>
          </cell>
          <cell r="R13">
            <v>0</v>
          </cell>
        </row>
        <row r="14">
          <cell r="Q14">
            <v>0</v>
          </cell>
          <cell r="R14">
            <v>0</v>
          </cell>
        </row>
        <row r="15">
          <cell r="Q15">
            <v>1</v>
          </cell>
          <cell r="R15">
            <v>1</v>
          </cell>
        </row>
        <row r="16">
          <cell r="Q16">
            <v>2</v>
          </cell>
          <cell r="R16">
            <v>2</v>
          </cell>
        </row>
        <row r="17">
          <cell r="Q17">
            <v>3</v>
          </cell>
          <cell r="R17">
            <v>3</v>
          </cell>
        </row>
        <row r="18">
          <cell r="B18">
            <v>11</v>
          </cell>
          <cell r="Q18">
            <v>4</v>
          </cell>
          <cell r="R18">
            <v>4</v>
          </cell>
        </row>
        <row r="19">
          <cell r="B19">
            <v>8</v>
          </cell>
          <cell r="Q19">
            <v>5</v>
          </cell>
          <cell r="R19">
            <v>5</v>
          </cell>
        </row>
        <row r="20">
          <cell r="Q20">
            <v>6</v>
          </cell>
          <cell r="R20">
            <v>6</v>
          </cell>
        </row>
        <row r="21">
          <cell r="Q21">
            <v>7</v>
          </cell>
          <cell r="R21">
            <v>7</v>
          </cell>
        </row>
        <row r="22">
          <cell r="Q22">
            <v>8</v>
          </cell>
          <cell r="R22">
            <v>8</v>
          </cell>
        </row>
        <row r="23">
          <cell r="Q23">
            <v>9</v>
          </cell>
          <cell r="R23">
            <v>18</v>
          </cell>
        </row>
        <row r="24">
          <cell r="B24" t="str">
            <v>ok</v>
          </cell>
          <cell r="Q24">
            <v>10</v>
          </cell>
          <cell r="R24">
            <v>16</v>
          </cell>
        </row>
        <row r="25">
          <cell r="Q25">
            <v>11</v>
          </cell>
          <cell r="R25">
            <v>20</v>
          </cell>
        </row>
        <row r="26">
          <cell r="Q26">
            <v>12</v>
          </cell>
          <cell r="R26">
            <v>13</v>
          </cell>
        </row>
        <row r="27">
          <cell r="Q27">
            <v>13</v>
          </cell>
          <cell r="R27">
            <v>15</v>
          </cell>
        </row>
        <row r="28">
          <cell r="Q28">
            <v>14</v>
          </cell>
          <cell r="R28">
            <v>12</v>
          </cell>
        </row>
        <row r="29">
          <cell r="Q29">
            <v>15</v>
          </cell>
          <cell r="R29">
            <v>9</v>
          </cell>
        </row>
        <row r="30">
          <cell r="Q30">
            <v>16</v>
          </cell>
          <cell r="R30">
            <v>19</v>
          </cell>
        </row>
        <row r="31">
          <cell r="Q31">
            <v>17</v>
          </cell>
          <cell r="R31">
            <v>17</v>
          </cell>
        </row>
        <row r="32">
          <cell r="Q32">
            <v>18</v>
          </cell>
          <cell r="R32">
            <v>10</v>
          </cell>
        </row>
        <row r="33">
          <cell r="Q33">
            <v>19</v>
          </cell>
          <cell r="R33">
            <v>14</v>
          </cell>
        </row>
        <row r="34">
          <cell r="Q34">
            <v>20</v>
          </cell>
          <cell r="R34">
            <v>11</v>
          </cell>
        </row>
        <row r="35">
          <cell r="Q35">
            <v>21</v>
          </cell>
          <cell r="R35">
            <v>21</v>
          </cell>
        </row>
      </sheetData>
      <sheetData sheetId="1">
        <row r="3">
          <cell r="A3">
            <v>1</v>
          </cell>
          <cell r="C3">
            <v>29944</v>
          </cell>
          <cell r="D3" t="str">
            <v>ΚΑΛΛΙΣΤΡΟΣ ΑΛΕΞΗΣ</v>
          </cell>
          <cell r="E3" t="str">
            <v>ΟΑ ΑΙΓΙΑΛΕΙΑΣ</v>
          </cell>
          <cell r="F3">
            <v>70</v>
          </cell>
        </row>
        <row r="4">
          <cell r="A4">
            <v>2</v>
          </cell>
          <cell r="C4">
            <v>29964</v>
          </cell>
          <cell r="D4" t="str">
            <v>ΚΑΡΑΓΙΑΝΝΗΣ ΠΑΝΤΕΛΗΣ</v>
          </cell>
          <cell r="E4" t="str">
            <v>ΑΕΤ ΝΙΚΗ</v>
          </cell>
          <cell r="F4">
            <v>46</v>
          </cell>
        </row>
        <row r="5">
          <cell r="A5">
            <v>3</v>
          </cell>
          <cell r="C5">
            <v>30792</v>
          </cell>
          <cell r="D5" t="str">
            <v>ΠΗΛΙΧΟΣ ΤΑΣΟΣ</v>
          </cell>
          <cell r="E5" t="str">
            <v>ΖΑΟΑ</v>
          </cell>
          <cell r="F5">
            <v>35</v>
          </cell>
        </row>
        <row r="6">
          <cell r="A6">
            <v>4</v>
          </cell>
          <cell r="C6">
            <v>25561</v>
          </cell>
          <cell r="D6" t="str">
            <v>ΔΑΝΙΗΛΟΓΛΟΥ ΣΑΒΒΑΣ</v>
          </cell>
          <cell r="E6" t="str">
            <v>ΡΗΓΑΣ ΑΟΑΑ</v>
          </cell>
          <cell r="F6">
            <v>18</v>
          </cell>
        </row>
        <row r="7">
          <cell r="A7">
            <v>5</v>
          </cell>
          <cell r="C7">
            <v>31353</v>
          </cell>
          <cell r="D7" t="str">
            <v>ΜΗΤΣΑΚΟΣ ΘΕΟΔΩΡΟΣ</v>
          </cell>
          <cell r="E7" t="str">
            <v>ΡΗΓΑΣ ΑΟΑΑ</v>
          </cell>
          <cell r="F7" t="str">
            <v>15.5</v>
          </cell>
        </row>
        <row r="8">
          <cell r="A8">
            <v>6</v>
          </cell>
          <cell r="C8">
            <v>32952</v>
          </cell>
          <cell r="D8" t="str">
            <v>ΚΩΝΣΤΑΝΤΙΝΙΔΗΣ ΗΛΙΑΣ</v>
          </cell>
          <cell r="E8" t="str">
            <v>ΖΑΟΑ</v>
          </cell>
          <cell r="F8" t="str">
            <v>13.5</v>
          </cell>
        </row>
        <row r="9">
          <cell r="A9">
            <v>7</v>
          </cell>
          <cell r="C9">
            <v>33082</v>
          </cell>
          <cell r="D9" t="str">
            <v>ΚΑΠΟΛΟΣ ΝΙΚΟΛΑΟΣ</v>
          </cell>
          <cell r="E9" t="str">
            <v>ΑΟΑ ΠΑΤΡΩΝ</v>
          </cell>
          <cell r="F9">
            <v>7</v>
          </cell>
        </row>
        <row r="10">
          <cell r="A10">
            <v>8</v>
          </cell>
          <cell r="C10">
            <v>33767</v>
          </cell>
          <cell r="D10" t="str">
            <v>ΠΑΠΠΑΣ ΕΥΑΓΓΕΛΟΣ</v>
          </cell>
          <cell r="E10" t="str">
            <v>ΟΑ ΡΙΟΥ</v>
          </cell>
          <cell r="F10" t="str">
            <v>5.5</v>
          </cell>
        </row>
        <row r="11">
          <cell r="A11">
            <v>9</v>
          </cell>
          <cell r="C11">
            <v>33758</v>
          </cell>
          <cell r="D11" t="str">
            <v>ΠΑΠΑΣΠΥΡΟΠΟΥΛΟΣ ΓΙΩΡΓΟΣ</v>
          </cell>
          <cell r="E11" t="str">
            <v>ΟΑ ΡΙΟΥ</v>
          </cell>
          <cell r="F11" t="str">
            <v>4.5</v>
          </cell>
        </row>
        <row r="12">
          <cell r="A12">
            <v>10</v>
          </cell>
          <cell r="C12">
            <v>33076</v>
          </cell>
          <cell r="D12" t="str">
            <v>ΣΤΑΜΑΤΟΠΟΥΛΟΣ ΙΩΑΝΝΗΣ</v>
          </cell>
          <cell r="E12" t="str">
            <v>ΑΟΑ ΠΑΤΡΩΝ</v>
          </cell>
          <cell r="F12">
            <v>4</v>
          </cell>
        </row>
        <row r="13">
          <cell r="A13">
            <v>11</v>
          </cell>
          <cell r="C13">
            <v>33361</v>
          </cell>
          <cell r="D13" t="str">
            <v>ΑΠΟΣΤΟΛΟΠΟΥΛΟΣ ΠΑΝΑΓΙΩΤΗΣ</v>
          </cell>
          <cell r="E13" t="str">
            <v>ΑΟΑ ΠΑΤΡΩΝ</v>
          </cell>
          <cell r="F13" t="str">
            <v>3.5</v>
          </cell>
        </row>
        <row r="14">
          <cell r="A14">
            <v>12</v>
          </cell>
          <cell r="C14">
            <v>34517</v>
          </cell>
          <cell r="D14" t="str">
            <v>ΧΟΥΣΟΣ ΠΑΝΑΓΙΩΤΗΣ</v>
          </cell>
          <cell r="E14" t="str">
            <v>ΟΑ ΡΙΟΥ</v>
          </cell>
          <cell r="F14" t="str">
            <v>3.5</v>
          </cell>
        </row>
        <row r="15">
          <cell r="A15">
            <v>13</v>
          </cell>
          <cell r="C15">
            <v>33191</v>
          </cell>
          <cell r="D15" t="str">
            <v>ΚΟΥΤΣΙΟΜΑΡΗΣ ΣΤΕΛΙΟΣ</v>
          </cell>
          <cell r="E15" t="str">
            <v>ΑΟΑ ΠΑΤΡΩΝ</v>
          </cell>
          <cell r="F15">
            <v>3</v>
          </cell>
        </row>
        <row r="16">
          <cell r="A16">
            <v>14</v>
          </cell>
          <cell r="C16">
            <v>31090</v>
          </cell>
          <cell r="D16" t="str">
            <v>ΚΑΜΠΑΝΟΣ ΕΥΘΥΜΗΣ</v>
          </cell>
          <cell r="E16" t="str">
            <v>ΚΟΑ</v>
          </cell>
          <cell r="F16" t="str">
            <v>2.5</v>
          </cell>
        </row>
        <row r="17">
          <cell r="A17">
            <v>15</v>
          </cell>
          <cell r="C17">
            <v>32099</v>
          </cell>
          <cell r="D17" t="str">
            <v>ΤΣΑΡΠΑΛΗΣ ΔΗΜΗΤΡΗΣ</v>
          </cell>
          <cell r="E17" t="str">
            <v>ΟΑ ΑΙΓΙΑΛΕΙΑΣ</v>
          </cell>
          <cell r="F17" t="str">
            <v>2.5</v>
          </cell>
        </row>
        <row r="18">
          <cell r="A18">
            <v>16</v>
          </cell>
          <cell r="C18">
            <v>34995</v>
          </cell>
          <cell r="D18" t="str">
            <v>ΛΩΡΙΔΑΣ ΑΛΕΞΑΝΔΡΟΣ</v>
          </cell>
          <cell r="E18" t="str">
            <v>ΖΑΟΑ</v>
          </cell>
          <cell r="F18">
            <v>2</v>
          </cell>
        </row>
        <row r="19">
          <cell r="A19">
            <v>17</v>
          </cell>
          <cell r="C19">
            <v>32963</v>
          </cell>
          <cell r="D19" t="str">
            <v>ΚΑΚΟΛΥΡΗΣ ΓΙΩΡΓΟΣ</v>
          </cell>
          <cell r="E19" t="str">
            <v>ΖΑΟΑ</v>
          </cell>
          <cell r="F19">
            <v>1</v>
          </cell>
        </row>
        <row r="20">
          <cell r="A20">
            <v>18</v>
          </cell>
          <cell r="C20">
            <v>34598</v>
          </cell>
          <cell r="D20" t="str">
            <v>ΚΟΛΛΙΑΣ ΣΤΑΥΡΟΣ</v>
          </cell>
          <cell r="E20" t="str">
            <v>ΡΗΓΑΣ ΑΟΑΑ</v>
          </cell>
        </row>
        <row r="21">
          <cell r="A21">
            <v>19</v>
          </cell>
          <cell r="C21">
            <v>32964</v>
          </cell>
          <cell r="D21" t="str">
            <v>ΣΟΥΛΗΣ ΚΩΝΣΤΑΝΤΙΝΟΣ</v>
          </cell>
          <cell r="E21" t="str">
            <v>ΖΑΟΑ</v>
          </cell>
        </row>
        <row r="22">
          <cell r="A22">
            <v>20</v>
          </cell>
          <cell r="C22">
            <v>34828</v>
          </cell>
          <cell r="D22" t="str">
            <v>ΣΠΥΡΙΔΑΚΗΣ ΘΕΟΔΩΡΟΣ</v>
          </cell>
          <cell r="E22" t="str">
            <v>ΚΟΑ</v>
          </cell>
        </row>
        <row r="23">
          <cell r="A23">
            <v>21</v>
          </cell>
          <cell r="C23">
            <v>33451</v>
          </cell>
          <cell r="D23" t="str">
            <v>ΠΑΠΑΔΑΤΟΣ ΝΙΚΟΣ</v>
          </cell>
          <cell r="E23" t="str">
            <v>ΚΟΑ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>
            <v>24</v>
          </cell>
        </row>
        <row r="27">
          <cell r="A27">
            <v>25</v>
          </cell>
          <cell r="F27">
            <v>0</v>
          </cell>
        </row>
        <row r="28">
          <cell r="A28">
            <v>26</v>
          </cell>
          <cell r="F28">
            <v>0</v>
          </cell>
        </row>
        <row r="29">
          <cell r="A29">
            <v>27</v>
          </cell>
          <cell r="F29">
            <v>0</v>
          </cell>
        </row>
        <row r="30">
          <cell r="A30">
            <v>28</v>
          </cell>
          <cell r="F30">
            <v>0</v>
          </cell>
        </row>
        <row r="31">
          <cell r="A31">
            <v>29</v>
          </cell>
          <cell r="F31">
            <v>0</v>
          </cell>
        </row>
        <row r="32">
          <cell r="A32">
            <v>30</v>
          </cell>
          <cell r="F32">
            <v>0</v>
          </cell>
        </row>
        <row r="33">
          <cell r="A33">
            <v>31</v>
          </cell>
          <cell r="F33">
            <v>0</v>
          </cell>
        </row>
        <row r="34">
          <cell r="A34">
            <v>32</v>
          </cell>
          <cell r="F34">
            <v>0</v>
          </cell>
        </row>
      </sheetData>
      <sheetData sheetId="2"/>
      <sheetData sheetId="3">
        <row r="14">
          <cell r="J14" t="str">
            <v>E1-12</v>
          </cell>
          <cell r="K14">
            <v>7</v>
          </cell>
          <cell r="L14">
            <v>10</v>
          </cell>
          <cell r="M14">
            <v>14</v>
          </cell>
          <cell r="N14">
            <v>21</v>
          </cell>
          <cell r="O14">
            <v>35</v>
          </cell>
          <cell r="P14">
            <v>42</v>
          </cell>
        </row>
        <row r="15">
          <cell r="J15" t="str">
            <v>E1-14</v>
          </cell>
          <cell r="K15">
            <v>10</v>
          </cell>
          <cell r="L15">
            <v>15</v>
          </cell>
          <cell r="M15">
            <v>20</v>
          </cell>
          <cell r="N15">
            <v>30</v>
          </cell>
          <cell r="O15">
            <v>50</v>
          </cell>
          <cell r="P15">
            <v>60</v>
          </cell>
        </row>
        <row r="16">
          <cell r="J16" t="str">
            <v>E1-16</v>
          </cell>
          <cell r="K16">
            <v>20</v>
          </cell>
          <cell r="L16">
            <v>30</v>
          </cell>
          <cell r="M16">
            <v>40</v>
          </cell>
          <cell r="N16">
            <v>60</v>
          </cell>
          <cell r="O16">
            <v>100</v>
          </cell>
          <cell r="P16">
            <v>120</v>
          </cell>
        </row>
        <row r="17">
          <cell r="J17" t="str">
            <v>E1-18</v>
          </cell>
          <cell r="K17">
            <v>25</v>
          </cell>
          <cell r="L17">
            <v>37</v>
          </cell>
          <cell r="M17">
            <v>50</v>
          </cell>
          <cell r="N17">
            <v>75</v>
          </cell>
          <cell r="O17">
            <v>125</v>
          </cell>
          <cell r="P17">
            <v>150</v>
          </cell>
        </row>
        <row r="18">
          <cell r="J18" t="str">
            <v>E2-12</v>
          </cell>
          <cell r="K18">
            <v>4</v>
          </cell>
          <cell r="L18">
            <v>5</v>
          </cell>
          <cell r="M18">
            <v>7</v>
          </cell>
          <cell r="N18">
            <v>10</v>
          </cell>
          <cell r="O18">
            <v>15</v>
          </cell>
          <cell r="P18">
            <v>18</v>
          </cell>
        </row>
        <row r="19">
          <cell r="J19" t="str">
            <v>E2-14</v>
          </cell>
          <cell r="K19">
            <v>5</v>
          </cell>
          <cell r="L19">
            <v>8</v>
          </cell>
          <cell r="M19">
            <v>10</v>
          </cell>
          <cell r="N19">
            <v>15</v>
          </cell>
          <cell r="O19">
            <v>25</v>
          </cell>
          <cell r="P19">
            <v>30</v>
          </cell>
        </row>
        <row r="20">
          <cell r="J20" t="str">
            <v>E2-16</v>
          </cell>
          <cell r="K20">
            <v>10</v>
          </cell>
          <cell r="L20">
            <v>15</v>
          </cell>
          <cell r="M20">
            <v>20</v>
          </cell>
          <cell r="N20">
            <v>30</v>
          </cell>
          <cell r="O20">
            <v>50</v>
          </cell>
          <cell r="P20">
            <v>60</v>
          </cell>
        </row>
        <row r="21">
          <cell r="J21" t="str">
            <v>E3-12</v>
          </cell>
          <cell r="K21">
            <v>0.5</v>
          </cell>
          <cell r="L21">
            <v>2</v>
          </cell>
          <cell r="M21">
            <v>3</v>
          </cell>
          <cell r="N21">
            <v>4</v>
          </cell>
          <cell r="O21">
            <v>7</v>
          </cell>
          <cell r="P21">
            <v>8</v>
          </cell>
        </row>
        <row r="22">
          <cell r="J22" t="str">
            <v>E3-14</v>
          </cell>
          <cell r="K22">
            <v>2</v>
          </cell>
          <cell r="L22">
            <v>3</v>
          </cell>
          <cell r="M22">
            <v>4</v>
          </cell>
          <cell r="N22">
            <v>6</v>
          </cell>
          <cell r="O22">
            <v>10</v>
          </cell>
          <cell r="P22">
            <v>12</v>
          </cell>
        </row>
        <row r="23">
          <cell r="J23" t="str">
            <v>E3-16</v>
          </cell>
          <cell r="K23">
            <v>4</v>
          </cell>
          <cell r="L23">
            <v>6</v>
          </cell>
          <cell r="M23">
            <v>8</v>
          </cell>
          <cell r="N23">
            <v>12</v>
          </cell>
          <cell r="O23">
            <v>20</v>
          </cell>
          <cell r="P23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FFFF00"/>
    <pageSetUpPr fitToPage="1"/>
  </sheetPr>
  <dimension ref="A1:AD75"/>
  <sheetViews>
    <sheetView showGridLines="0" showZeros="0" tabSelected="1" workbookViewId="0">
      <pane ySplit="1" topLeftCell="A2" activePane="bottomLeft" state="frozen"/>
      <selection pane="bottomLeft" activeCell="T21" sqref="T21"/>
    </sheetView>
  </sheetViews>
  <sheetFormatPr defaultColWidth="8.85546875" defaultRowHeight="12.75"/>
  <cols>
    <col min="1" max="1" width="2.42578125" style="15" bestFit="1" customWidth="1"/>
    <col min="2" max="2" width="2.28515625" style="15" hidden="1" customWidth="1"/>
    <col min="3" max="3" width="6" style="36" hidden="1" customWidth="1"/>
    <col min="4" max="4" width="5.28515625" style="109" hidden="1" customWidth="1"/>
    <col min="5" max="5" width="4.7109375" style="109" hidden="1" customWidth="1"/>
    <col min="6" max="6" width="3" style="36" bestFit="1" customWidth="1"/>
    <col min="7" max="7" width="3.5703125" style="36" bestFit="1" customWidth="1"/>
    <col min="8" max="8" width="3.140625" style="109" bestFit="1" customWidth="1"/>
    <col min="9" max="9" width="6.85546875" style="110" bestFit="1" customWidth="1"/>
    <col min="10" max="10" width="37.28515625" style="15" bestFit="1" customWidth="1"/>
    <col min="11" max="11" width="11.7109375" style="15" hidden="1" customWidth="1"/>
    <col min="12" max="12" width="15.7109375" style="111" customWidth="1"/>
    <col min="13" max="13" width="1.42578125" style="112" bestFit="1" customWidth="1"/>
    <col min="14" max="14" width="15.7109375" style="15" customWidth="1"/>
    <col min="15" max="15" width="1.42578125" style="50" bestFit="1" customWidth="1"/>
    <col min="16" max="16" width="15.7109375" style="15" customWidth="1"/>
    <col min="17" max="17" width="1.42578125" style="50" bestFit="1" customWidth="1"/>
    <col min="18" max="18" width="15.7109375" style="14" customWidth="1"/>
    <col min="19" max="19" width="1.42578125" style="48" bestFit="1" customWidth="1"/>
    <col min="20" max="20" width="15.7109375" style="14" customWidth="1"/>
    <col min="21" max="21" width="8.85546875" style="14"/>
    <col min="22" max="23" width="8.85546875" style="15"/>
    <col min="24" max="24" width="4.7109375" style="15" hidden="1" customWidth="1"/>
    <col min="25" max="25" width="24.28515625" style="15" hidden="1" customWidth="1"/>
    <col min="26" max="26" width="1.28515625" style="15" hidden="1" customWidth="1"/>
    <col min="27" max="30" width="4.7109375" style="15" hidden="1" customWidth="1"/>
    <col min="31" max="16384" width="8.85546875" style="15"/>
  </cols>
  <sheetData>
    <row r="1" spans="1:30" s="5" customFormat="1" ht="21" customHeight="1">
      <c r="A1" s="1" t="str">
        <f>[1]Setup!B3 &amp; ", " &amp; [1]Setup!B4 &amp; ", " &amp; [1]Setup!B6 &amp; ", " &amp; [1]Setup!B8 &amp; "-" &amp; [1]Setup!B9</f>
        <v>EΦΟΑ&amp;ΣΤ'ΕΝΩΣΗ, 3ο Ε3, ΚΕΦΑΛΛΗΝΙΑΚΟΣ ΟΑ, 13-14 ΣΕΠΤΕΜΒΡΙΟΥ 2014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3" t="str">
        <f>[1]Setup!$B$7</f>
        <v>Α12</v>
      </c>
      <c r="U1" s="4"/>
    </row>
    <row r="2" spans="1:30">
      <c r="A2" s="6"/>
      <c r="B2" s="7">
        <f>[1]Setup!B18</f>
        <v>11</v>
      </c>
      <c r="C2" s="7"/>
      <c r="D2" s="8"/>
      <c r="E2" s="8"/>
      <c r="F2" s="9"/>
      <c r="G2" s="10"/>
      <c r="H2" s="11"/>
      <c r="I2" s="10" t="str">
        <f>"p"&amp;VLOOKUP([1]Setup!$B$5,[1]tmp!$J$14:$P$23,2,FALSE)</f>
        <v>p4</v>
      </c>
      <c r="J2" s="11"/>
      <c r="K2" s="11"/>
      <c r="L2" s="12"/>
      <c r="M2" s="10"/>
      <c r="N2" s="10" t="str">
        <f>"p"&amp;VLOOKUP([1]Setup!$B$5,[1]tmp!$J$14:$P$23,3,FALSE)</f>
        <v>p5</v>
      </c>
      <c r="O2" s="11"/>
      <c r="P2" s="10" t="str">
        <f>"p"&amp;VLOOKUP([1]Setup!$B$5,[1]tmp!$J$14:$P$23,4,FALSE)</f>
        <v>p7</v>
      </c>
      <c r="Q2" s="11"/>
      <c r="R2" s="10" t="str">
        <f>"p"&amp;VLOOKUP([1]Setup!$B$5,[1]tmp!$J$14:$P$23,5,FALSE)</f>
        <v>p10</v>
      </c>
      <c r="S2" s="13"/>
      <c r="T2" s="10" t="str">
        <f>"p"&amp;VLOOKUP([1]Setup!$B$5,[1]tmp!$J$14:$P$23,6,FALSE)&amp;"-"&amp;VLOOKUP([1]Setup!$B$5,[1]tmp!$J$14:$P$23,7,FALSE)</f>
        <v>p15-18</v>
      </c>
    </row>
    <row r="3" spans="1:30" ht="11.25">
      <c r="A3" s="16"/>
      <c r="B3" s="16"/>
      <c r="C3" s="17"/>
      <c r="D3" s="18"/>
      <c r="E3" s="18"/>
      <c r="F3" s="17"/>
      <c r="G3" s="17"/>
      <c r="H3" s="18"/>
      <c r="I3" s="19"/>
      <c r="J3" s="20">
        <v>32</v>
      </c>
      <c r="K3" s="20"/>
      <c r="L3" s="20"/>
      <c r="M3" s="21"/>
      <c r="N3" s="22">
        <v>16</v>
      </c>
      <c r="O3" s="23"/>
      <c r="P3" s="24">
        <v>8</v>
      </c>
      <c r="Q3" s="25"/>
      <c r="R3" s="24">
        <v>4</v>
      </c>
      <c r="S3" s="25"/>
      <c r="T3" s="24" t="s">
        <v>0</v>
      </c>
    </row>
    <row r="4" spans="1:30" s="36" customFormat="1" ht="13.5" thickBot="1">
      <c r="A4" s="26" t="s">
        <v>1</v>
      </c>
      <c r="B4" s="27"/>
      <c r="C4" s="28" t="s">
        <v>2</v>
      </c>
      <c r="D4" s="28" t="s">
        <v>3</v>
      </c>
      <c r="E4" s="28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9" t="s">
        <v>9</v>
      </c>
      <c r="K4" s="28" t="s">
        <v>10</v>
      </c>
      <c r="L4" s="30" t="s">
        <v>11</v>
      </c>
      <c r="M4" s="31"/>
      <c r="N4" s="17"/>
      <c r="O4" s="32"/>
      <c r="P4" s="17"/>
      <c r="Q4" s="32"/>
      <c r="R4" s="33"/>
      <c r="S4" s="34"/>
      <c r="T4" s="33"/>
      <c r="U4" s="35"/>
    </row>
    <row r="5" spans="1:30" ht="13.5" thickTop="1">
      <c r="A5" s="37">
        <v>1</v>
      </c>
      <c r="B5" s="38">
        <v>1</v>
      </c>
      <c r="C5" s="39"/>
      <c r="D5" s="40"/>
      <c r="E5" s="40">
        <v>0</v>
      </c>
      <c r="F5" s="41">
        <f>IF(NOT($G5="-"),VLOOKUP($G5,'[1]AL MD'!$A$3:$E$34,2,FALSE),"")</f>
        <v>0</v>
      </c>
      <c r="G5" s="42">
        <f>VLOOKUP($B5,[1]Setup!$Q$4:$R$35,2,FALSE)</f>
        <v>1</v>
      </c>
      <c r="H5" s="37">
        <f>IF($G5&gt;0,VLOOKUP($G5,'[1]AL MD'!$A$3:$F$34,6,FALSE),0)</f>
        <v>70</v>
      </c>
      <c r="I5" s="42">
        <f>IF([1]Setup!$B$24="#",0,IF($G5&gt;0,VLOOKUP($G5,'[1]AL MD'!$A$3:$E$34,3,FALSE),0))</f>
        <v>29944</v>
      </c>
      <c r="J5" s="43" t="str">
        <f>IF($I5&gt;0,VLOOKUP($I5,'[1]AL MD'!$C$3:$E$34,2,FALSE),"bye")</f>
        <v>ΚΑΛΛΙΣΤΡΟΣ ΑΛΕΞΗΣ</v>
      </c>
      <c r="K5" s="44" t="str">
        <f>IF(NOT(I5&gt;0),"", IF(ISERROR(FIND("-",J5)), LEFT(J5,FIND(" ",J5)-1),  IF(FIND("-",J5)&gt;FIND(" ",J5),LEFT(J5,FIND(" ",J5)-1),   LEFT(J5,FIND("-",J5)-1)    )))</f>
        <v>ΚΑΛΛΙΣΤΡΟΣ</v>
      </c>
      <c r="L5" s="45" t="str">
        <f>IF($I5&gt;0,VLOOKUP($I5,'[1]AL MD'!$C$3:$E$34,3,FALSE),"")</f>
        <v>ΟΑ ΑΙΓΙΑΛΕΙΑΣ</v>
      </c>
      <c r="M5" s="46">
        <v>1</v>
      </c>
      <c r="N5" s="47" t="str">
        <f>UPPER(IF($A$2="R",IF(OR(M5=1,M5="a"),I5,IF(OR(M5=2,M5="b"),I6,"")),IF(OR(M5=1,M5="1"),K5,IF(OR(M5=2,M5="b"),K6,""))))</f>
        <v>ΚΑΛΛΙΣΤΡΟΣ</v>
      </c>
      <c r="O5" s="48"/>
      <c r="P5" s="49"/>
      <c r="R5" s="49"/>
      <c r="T5" s="49"/>
      <c r="X5" s="51">
        <f>I5</f>
        <v>29944</v>
      </c>
      <c r="Y5" s="51" t="str">
        <f>J5</f>
        <v>ΚΑΛΛΙΣΤΡΟΣ ΑΛΕΞΗΣ</v>
      </c>
      <c r="Z5" s="52" t="s">
        <v>12</v>
      </c>
      <c r="AA5" s="53" t="str">
        <f>N5</f>
        <v>ΚΑΛΛΙΣΤΡΟΣ</v>
      </c>
      <c r="AB5" s="48"/>
      <c r="AC5" s="48"/>
      <c r="AD5" s="48"/>
    </row>
    <row r="6" spans="1:30">
      <c r="A6" s="54">
        <v>2</v>
      </c>
      <c r="B6" s="39">
        <f>1-D6+8</f>
        <v>8</v>
      </c>
      <c r="C6" s="55">
        <f>B5</f>
        <v>1</v>
      </c>
      <c r="D6" s="56">
        <f>E6</f>
        <v>1</v>
      </c>
      <c r="E6" s="56">
        <f>IF($B$2&gt;=C6,1,0)</f>
        <v>1</v>
      </c>
      <c r="F6" s="57" t="str">
        <f>IF(NOT($G6="-"),VLOOKUP($G6,'[1]AL MD'!$A$3:$E$34,2,FALSE),"")</f>
        <v/>
      </c>
      <c r="G6" s="54" t="str">
        <f>IF($B$2&gt;=C6,"-",VLOOKUP($B6,[1]Setup!$Q$4:$R$35,2,FALSE))</f>
        <v>-</v>
      </c>
      <c r="H6" s="54">
        <f>IF(NOT($G6="-"),VLOOKUP($G6,'[1]AL MD'!$A$3:$F$34,6,FALSE),0)</f>
        <v>0</v>
      </c>
      <c r="I6" s="54">
        <f>IF([1]Setup!$B$24="#",0,IF(NOT($G6="-"),VLOOKUP($G6,'[1]AL MD'!$A$3:$E$34,3,FALSE),0))</f>
        <v>0</v>
      </c>
      <c r="J6" s="58" t="str">
        <f>IF($I6&gt;0,VLOOKUP($I6,'[1]AL MD'!$C$3:$E$34,2,FALSE),"bye")</f>
        <v>bye</v>
      </c>
      <c r="K6" s="59" t="str">
        <f t="shared" ref="K6:K36" si="0">IF(NOT(I6&gt;0),"", IF(ISERROR(FIND("-",J6)), LEFT(J6,FIND(" ",J6)-1),  IF(FIND("-",J6)&gt;FIND(" ",J6),LEFT(J6,FIND(" ",J6)-1),   LEFT(J6,FIND("-",J6)-1)    )))</f>
        <v/>
      </c>
      <c r="L6" s="60" t="str">
        <f>IF($I6&gt;0,VLOOKUP($I6,'[1]AL MD'!$C$3:$E$34,3,FALSE),"")</f>
        <v/>
      </c>
      <c r="M6" s="61"/>
      <c r="N6" s="62"/>
      <c r="O6" s="46">
        <v>1</v>
      </c>
      <c r="P6" s="47" t="str">
        <f>UPPER(IF($A$2="R",IF(OR(O6=1,O6="a"),N5,IF(OR(O6=2,O6="b"),N7,"")),IF(OR(O6=1,O6="a"),N5,IF(OR(O6=2,O6="b"),N7,""))))</f>
        <v>ΚΑΛΛΙΣΤΡΟΣ</v>
      </c>
      <c r="Q6" s="48"/>
      <c r="R6" s="49"/>
      <c r="T6" s="49"/>
      <c r="X6" s="48">
        <f t="shared" ref="X6:Y35" si="1">I6</f>
        <v>0</v>
      </c>
      <c r="Y6" s="63" t="str">
        <f t="shared" si="1"/>
        <v>bye</v>
      </c>
      <c r="Z6" s="64"/>
      <c r="AA6" s="65">
        <f t="shared" ref="AA6:AA36" si="2">N6</f>
        <v>0</v>
      </c>
      <c r="AB6" s="53" t="str">
        <f t="shared" ref="AB6:AB35" si="3">P6</f>
        <v>ΚΑΛΛΙΣΤΡΟΣ</v>
      </c>
      <c r="AC6" s="48"/>
      <c r="AD6" s="48"/>
    </row>
    <row r="7" spans="1:30">
      <c r="A7" s="66">
        <v>3</v>
      </c>
      <c r="B7" s="39">
        <f>2-D7+8</f>
        <v>9</v>
      </c>
      <c r="C7" s="55"/>
      <c r="D7" s="56">
        <f>D6+E7</f>
        <v>1</v>
      </c>
      <c r="E7" s="56">
        <v>0</v>
      </c>
      <c r="F7" s="67">
        <f>IF(NOT($G7="-"),VLOOKUP($G7,'[1]AL MD'!$A$3:$E$34,2,FALSE),"")</f>
        <v>0</v>
      </c>
      <c r="G7" s="66">
        <f>VLOOKUP($B7,[1]Setup!$Q$4:$R$35,2,FALSE)</f>
        <v>18</v>
      </c>
      <c r="H7" s="66">
        <f>IF($G7&gt;0,VLOOKUP($G7,'[1]AL MD'!$A$3:$F$34,6,FALSE),0)</f>
        <v>0</v>
      </c>
      <c r="I7" s="66">
        <f>IF([1]Setup!$B$24="#",0,IF($G7&gt;0,VLOOKUP($G7,'[1]AL MD'!$A$3:$E$34,3,FALSE),0))</f>
        <v>34598</v>
      </c>
      <c r="J7" s="68" t="str">
        <f>IF($I7&gt;0,VLOOKUP($I7,'[1]AL MD'!$C$3:$E$34,2,FALSE),"bye")</f>
        <v>ΚΟΛΛΙΑΣ ΣΤΑΥΡΟΣ</v>
      </c>
      <c r="K7" s="69" t="str">
        <f t="shared" si="0"/>
        <v>ΚΟΛΛΙΑΣ</v>
      </c>
      <c r="L7" s="70" t="str">
        <f>IF($I7&gt;0,VLOOKUP($I7,'[1]AL MD'!$C$3:$E$34,3,FALSE),"")</f>
        <v>ΡΗΓΑΣ ΑΟΑΑ</v>
      </c>
      <c r="M7" s="46">
        <v>1</v>
      </c>
      <c r="N7" s="47" t="str">
        <f>UPPER(IF($A$2="R",IF(OR(M7=1,M7="a"),I7,IF(OR(M7=2,M7="b"),I8,"")),IF(OR(M7=1,M7="a"),K7,IF(OR(M7=2,M7="b"),K8,""))))</f>
        <v>ΚΟΛΛΙΑΣ</v>
      </c>
      <c r="O7" s="61"/>
      <c r="P7" s="62" t="s">
        <v>13</v>
      </c>
      <c r="Q7" s="48"/>
      <c r="R7" s="49"/>
      <c r="T7" s="49"/>
      <c r="X7" s="51">
        <f t="shared" si="1"/>
        <v>34598</v>
      </c>
      <c r="Y7" s="48" t="str">
        <f t="shared" si="1"/>
        <v>ΚΟΛΛΙΑΣ ΣΤΑΥΡΟΣ</v>
      </c>
      <c r="Z7" s="52"/>
      <c r="AA7" s="71" t="str">
        <f t="shared" si="2"/>
        <v>ΚΟΛΛΙΑΣ</v>
      </c>
      <c r="AB7" s="72" t="str">
        <f t="shared" si="3"/>
        <v>40 41</v>
      </c>
      <c r="AC7" s="48"/>
      <c r="AD7" s="48"/>
    </row>
    <row r="8" spans="1:30">
      <c r="A8" s="54">
        <v>4</v>
      </c>
      <c r="B8" s="39">
        <f>3-D8+8</f>
        <v>10</v>
      </c>
      <c r="C8" s="55">
        <v>15</v>
      </c>
      <c r="D8" s="56">
        <f t="shared" ref="D8:D36" si="4">D7+E8</f>
        <v>1</v>
      </c>
      <c r="E8" s="56">
        <f>IF($B$2&gt;=C8,1,0)</f>
        <v>0</v>
      </c>
      <c r="F8" s="57">
        <f>IF(NOT($G8="-"),VLOOKUP($G8,'[1]AL MD'!$A$3:$E$34,2,FALSE),"")</f>
        <v>0</v>
      </c>
      <c r="G8" s="54">
        <f>IF($B$2&gt;=C8,"-",VLOOKUP($B8,[1]Setup!$Q$4:$R$35,2,FALSE))</f>
        <v>16</v>
      </c>
      <c r="H8" s="54">
        <f>IF(NOT($G8="-"),VLOOKUP($G8,'[1]AL MD'!$A$3:$F$34,6,FALSE),0)</f>
        <v>2</v>
      </c>
      <c r="I8" s="54">
        <f>IF([1]Setup!$B$24="#",0,IF(NOT($G8="-"),VLOOKUP($G8,'[1]AL MD'!$A$3:$E$34,3,FALSE),0))</f>
        <v>34995</v>
      </c>
      <c r="J8" s="58" t="str">
        <f>IF($I8&gt;0,VLOOKUP($I8,'[1]AL MD'!$C$3:$E$34,2,FALSE),"bye")</f>
        <v>ΛΩΡΙΔΑΣ ΑΛΕΞΑΝΔΡΟΣ</v>
      </c>
      <c r="K8" s="59" t="str">
        <f t="shared" si="0"/>
        <v>ΛΩΡΙΔΑΣ</v>
      </c>
      <c r="L8" s="60" t="str">
        <f>IF($I8&gt;0,VLOOKUP($I8,'[1]AL MD'!$C$3:$E$34,3,FALSE),"")</f>
        <v>ΖΑΟΑ</v>
      </c>
      <c r="M8" s="61"/>
      <c r="N8" s="73" t="s">
        <v>14</v>
      </c>
      <c r="O8" s="48"/>
      <c r="P8" s="74"/>
      <c r="Q8" s="75">
        <v>1</v>
      </c>
      <c r="R8" s="47" t="str">
        <f>UPPER(IF($A$2="R",IF(OR(Q8=1,Q8="a"),P6,IF(OR(Q8=2,Q8="b"),P10,"")),IF(OR(Q8=1,Q8="a"),P6,IF(OR(Q8=2,Q8="b"),P10,""))))</f>
        <v>ΚΑΛΛΙΣΤΡΟΣ</v>
      </c>
      <c r="T8" s="49"/>
      <c r="X8" s="48">
        <f t="shared" si="1"/>
        <v>34995</v>
      </c>
      <c r="Y8" s="63" t="str">
        <f t="shared" si="1"/>
        <v>ΛΩΡΙΔΑΣ ΑΛΕΞΑΝΔΡΟΣ</v>
      </c>
      <c r="Z8" s="76"/>
      <c r="AA8" s="65" t="str">
        <f t="shared" si="2"/>
        <v>40  40</v>
      </c>
      <c r="AB8" s="65"/>
      <c r="AC8" s="53" t="str">
        <f>R8</f>
        <v>ΚΑΛΛΙΣΤΡΟΣ</v>
      </c>
      <c r="AD8" s="48"/>
    </row>
    <row r="9" spans="1:30">
      <c r="A9" s="66">
        <v>5</v>
      </c>
      <c r="B9" s="39">
        <f>4-D9+8</f>
        <v>11</v>
      </c>
      <c r="C9" s="55"/>
      <c r="D9" s="56">
        <f t="shared" si="4"/>
        <v>1</v>
      </c>
      <c r="E9" s="56">
        <v>0</v>
      </c>
      <c r="F9" s="67">
        <f>IF(NOT($G9="-"),VLOOKUP($G9,'[1]AL MD'!$A$3:$E$34,2,FALSE),"")</f>
        <v>0</v>
      </c>
      <c r="G9" s="66">
        <f>VLOOKUP($B9,[1]Setup!$Q$4:$R$35,2,FALSE)</f>
        <v>20</v>
      </c>
      <c r="H9" s="66">
        <f>IF($G9&gt;0,VLOOKUP($G9,'[1]AL MD'!$A$3:$F$34,6,FALSE),0)</f>
        <v>0</v>
      </c>
      <c r="I9" s="66">
        <f>IF([1]Setup!$B$24="#",0,IF($G9&gt;0,VLOOKUP($G9,'[1]AL MD'!$A$3:$E$34,3,FALSE),0))</f>
        <v>34828</v>
      </c>
      <c r="J9" s="68" t="str">
        <f>IF($I9&gt;0,VLOOKUP($I9,'[1]AL MD'!$C$3:$E$34,2,FALSE),"bye")</f>
        <v>ΣΠΥΡΙΔΑΚΗΣ ΘΕΟΔΩΡΟΣ</v>
      </c>
      <c r="K9" s="69" t="str">
        <f t="shared" si="0"/>
        <v>ΣΠΥΡΙΔΑΚΗΣ</v>
      </c>
      <c r="L9" s="70" t="str">
        <f>IF($I9&gt;0,VLOOKUP($I9,'[1]AL MD'!$C$3:$E$34,3,FALSE),"")</f>
        <v>ΚΟΑ</v>
      </c>
      <c r="M9" s="77">
        <v>1</v>
      </c>
      <c r="N9" s="47" t="str">
        <f>UPPER(IF($A$2="R",IF(OR(M9=1,M9="a"),I9,IF(OR(M9=2,M9="b"),I10,"")),IF(OR(M9=1,M9="a"),K9,IF(OR(M9=2,M9="b"),K10,""))))</f>
        <v>ΣΠΥΡΙΔΑΚΗΣ</v>
      </c>
      <c r="O9" s="48"/>
      <c r="P9" s="74"/>
      <c r="Q9" s="48"/>
      <c r="R9" s="62" t="s">
        <v>14</v>
      </c>
      <c r="T9" s="49"/>
      <c r="X9" s="51">
        <f t="shared" si="1"/>
        <v>34828</v>
      </c>
      <c r="Y9" s="48" t="str">
        <f t="shared" si="1"/>
        <v>ΣΠΥΡΙΔΑΚΗΣ ΘΕΟΔΩΡΟΣ</v>
      </c>
      <c r="Z9" s="64"/>
      <c r="AA9" s="65" t="str">
        <f t="shared" si="2"/>
        <v>ΣΠΥΡΙΔΑΚΗΣ</v>
      </c>
      <c r="AB9" s="65"/>
      <c r="AC9" s="72" t="str">
        <f>R9</f>
        <v>40  40</v>
      </c>
      <c r="AD9" s="48"/>
    </row>
    <row r="10" spans="1:30">
      <c r="A10" s="54">
        <v>6</v>
      </c>
      <c r="B10" s="39">
        <f>5-D10+8</f>
        <v>11</v>
      </c>
      <c r="C10" s="55">
        <v>9</v>
      </c>
      <c r="D10" s="56">
        <f t="shared" si="4"/>
        <v>2</v>
      </c>
      <c r="E10" s="56">
        <f>IF($B$2&gt;=C10,1,0)</f>
        <v>1</v>
      </c>
      <c r="F10" s="57" t="str">
        <f>IF(NOT($G10="-"),VLOOKUP($G10,'[1]AL MD'!$A$3:$E$34,2,FALSE),"")</f>
        <v/>
      </c>
      <c r="G10" s="54" t="str">
        <f>IF($B$2&gt;=C10,"-",VLOOKUP($B10,[1]Setup!$Q$4:$R$35,2,FALSE))</f>
        <v>-</v>
      </c>
      <c r="H10" s="54">
        <f>IF(NOT($G10="-"),VLOOKUP($G10,'[1]AL MD'!$A$3:$F$34,6,FALSE),0)</f>
        <v>0</v>
      </c>
      <c r="I10" s="54">
        <f>IF([1]Setup!$B$24="#",0,IF(NOT($G10="-"),VLOOKUP($G10,'[1]AL MD'!$A$3:$E$34,3,FALSE),0))</f>
        <v>0</v>
      </c>
      <c r="J10" s="58" t="str">
        <f>IF($I10&gt;0,VLOOKUP($I10,'[1]AL MD'!$C$3:$E$34,2,FALSE),"bye")</f>
        <v>bye</v>
      </c>
      <c r="K10" s="59" t="str">
        <f t="shared" si="0"/>
        <v/>
      </c>
      <c r="L10" s="60" t="str">
        <f>IF($I10&gt;0,VLOOKUP($I10,'[1]AL MD'!$C$3:$E$34,3,FALSE),"")</f>
        <v/>
      </c>
      <c r="M10" s="61"/>
      <c r="N10" s="62"/>
      <c r="O10" s="46">
        <v>2</v>
      </c>
      <c r="P10" s="47" t="str">
        <f>UPPER(IF($A$2="R",IF(OR(O10=1,O10="a"),N9,IF(OR(O10=2,O10="b"),N11,"")),IF(OR(O10=1,O10="a"),N9,IF(OR(O10=2,O10="b"),N11,""))))</f>
        <v>ΚΩΝΣΤΑΝΤΙΝΙΔΗΣ</v>
      </c>
      <c r="Q10" s="78"/>
      <c r="R10" s="74"/>
      <c r="T10" s="49"/>
      <c r="X10" s="63">
        <f t="shared" si="1"/>
        <v>0</v>
      </c>
      <c r="Y10" s="63" t="str">
        <f t="shared" si="1"/>
        <v>bye</v>
      </c>
      <c r="Z10" s="64"/>
      <c r="AA10" s="72">
        <f t="shared" si="2"/>
        <v>0</v>
      </c>
      <c r="AB10" s="71" t="str">
        <f t="shared" si="3"/>
        <v>ΚΩΝΣΤΑΝΤΙΝΙΔΗΣ</v>
      </c>
      <c r="AC10" s="65"/>
      <c r="AD10" s="48"/>
    </row>
    <row r="11" spans="1:30">
      <c r="A11" s="66">
        <v>7</v>
      </c>
      <c r="B11" s="39">
        <f>6-D11+8</f>
        <v>11</v>
      </c>
      <c r="C11" s="55">
        <f>B12</f>
        <v>6</v>
      </c>
      <c r="D11" s="56">
        <f t="shared" si="4"/>
        <v>3</v>
      </c>
      <c r="E11" s="56">
        <f>IF($B$2&gt;=C11,1,0)</f>
        <v>1</v>
      </c>
      <c r="F11" s="67" t="str">
        <f>IF(NOT($G11="-"),VLOOKUP($G11,'[1]AL MD'!$A$3:$E$34,2,FALSE),"")</f>
        <v/>
      </c>
      <c r="G11" s="66" t="str">
        <f>IF($B$2&gt;=C11,"-",VLOOKUP($B11,[1]Setup!$Q$4:$R$35,2,FALSE))</f>
        <v>-</v>
      </c>
      <c r="H11" s="66">
        <f>IF(NOT($G11="-"),VLOOKUP($G11,'[1]AL MD'!$A$3:$F$34,6,FALSE),0)</f>
        <v>0</v>
      </c>
      <c r="I11" s="66">
        <f>IF([1]Setup!$B$24="#",0,IF(NOT($G11="-"),VLOOKUP($G11,'[1]AL MD'!$A$3:$E$34,3,FALSE),0))</f>
        <v>0</v>
      </c>
      <c r="J11" s="68" t="str">
        <f>IF($I11&gt;0,VLOOKUP($I11,'[1]AL MD'!$C$3:$E$34,2,FALSE),"bye")</f>
        <v>bye</v>
      </c>
      <c r="K11" s="69" t="str">
        <f t="shared" si="0"/>
        <v/>
      </c>
      <c r="L11" s="70" t="str">
        <f>IF($I11&gt;0,VLOOKUP($I11,'[1]AL MD'!$C$3:$E$34,3,FALSE),"")</f>
        <v/>
      </c>
      <c r="M11" s="46">
        <v>2</v>
      </c>
      <c r="N11" s="47" t="str">
        <f>UPPER(IF($A$2="R",IF(OR(M11=1,M11="a"),I11,IF(OR(M11=2,M11="b"),I12,"")),IF(OR(M11=1,M11="a"),K11,IF(OR(M11=2,M11="b"),K12,""))))</f>
        <v>ΚΩΝΣΤΑΝΤΙΝΙΔΗΣ</v>
      </c>
      <c r="O11" s="61"/>
      <c r="P11" s="79" t="s">
        <v>14</v>
      </c>
      <c r="Q11" s="48"/>
      <c r="R11" s="74"/>
      <c r="S11" s="78"/>
      <c r="T11" s="49"/>
      <c r="X11" s="48">
        <f t="shared" si="1"/>
        <v>0</v>
      </c>
      <c r="Y11" s="48" t="str">
        <f t="shared" si="1"/>
        <v>bye</v>
      </c>
      <c r="Z11" s="52"/>
      <c r="AA11" s="65" t="str">
        <f t="shared" si="2"/>
        <v>ΚΩΝΣΤΑΝΤΙΝΙΔΗΣ</v>
      </c>
      <c r="AB11" s="65" t="str">
        <f t="shared" si="3"/>
        <v>40  40</v>
      </c>
      <c r="AC11" s="65"/>
      <c r="AD11" s="48"/>
    </row>
    <row r="12" spans="1:30" ht="13.5" thickBot="1">
      <c r="A12" s="80">
        <v>8</v>
      </c>
      <c r="B12" s="81">
        <f>VALUE([1]Setup!L7)</f>
        <v>6</v>
      </c>
      <c r="C12" s="82"/>
      <c r="D12" s="83">
        <f t="shared" si="4"/>
        <v>3</v>
      </c>
      <c r="E12" s="83">
        <v>0</v>
      </c>
      <c r="F12" s="84">
        <f>IF(NOT($G12="-"),VLOOKUP($G12,'[1]AL MD'!$A$3:$E$34,2,FALSE),"")</f>
        <v>0</v>
      </c>
      <c r="G12" s="85">
        <f>VLOOKUP($B12,[1]Setup!$Q$4:$R$35,2,FALSE)</f>
        <v>6</v>
      </c>
      <c r="H12" s="80" t="str">
        <f>IF($G12&gt;0,VLOOKUP($G12,'[1]AL MD'!$A$3:$F$34,6,FALSE),0)</f>
        <v>13.5</v>
      </c>
      <c r="I12" s="85">
        <f>IF([1]Setup!$B$24="#",0,IF($G12&gt;0,VLOOKUP($G12,'[1]AL MD'!$A$3:$E$34,3,FALSE),0))</f>
        <v>32952</v>
      </c>
      <c r="J12" s="86" t="str">
        <f>IF($I12&gt;0,VLOOKUP($I12,'[1]AL MD'!$C$3:$E$34,2,FALSE),"bye")</f>
        <v>ΚΩΝΣΤΑΝΤΙΝΙΔΗΣ ΗΛΙΑΣ</v>
      </c>
      <c r="K12" s="87" t="str">
        <f t="shared" si="0"/>
        <v>ΚΩΝΣΤΑΝΤΙΝΙΔΗΣ</v>
      </c>
      <c r="L12" s="88" t="str">
        <f>IF($I12&gt;0,VLOOKUP($I12,'[1]AL MD'!$C$3:$E$34,3,FALSE),"")</f>
        <v>ΖΑΟΑ</v>
      </c>
      <c r="M12" s="61"/>
      <c r="N12" s="79"/>
      <c r="P12" s="89"/>
      <c r="R12" s="89"/>
      <c r="S12" s="46">
        <v>1</v>
      </c>
      <c r="T12" s="90" t="str">
        <f>UPPER(IF($A$2="R",IF(OR(S12=1,S12="a"),R8,IF(OR(S12=2,S12="b"),R16,"")),IF(OR(S12=1,S12="a"),R8,IF(OR(S12=2,S12="b"),R16,""))))</f>
        <v>ΚΑΛΛΙΣΤΡΟΣ</v>
      </c>
      <c r="X12" s="63">
        <f t="shared" si="1"/>
        <v>32952</v>
      </c>
      <c r="Y12" s="63" t="str">
        <f t="shared" si="1"/>
        <v>ΚΩΝΣΤΑΝΤΙΝΙΔΗΣ ΗΛΙΑΣ</v>
      </c>
      <c r="Z12" s="64"/>
      <c r="AA12" s="72">
        <f t="shared" si="2"/>
        <v>0</v>
      </c>
      <c r="AB12" s="65"/>
      <c r="AC12" s="65"/>
      <c r="AD12" s="7" t="str">
        <f>T12</f>
        <v>ΚΑΛΛΙΣΤΡΟΣ</v>
      </c>
    </row>
    <row r="13" spans="1:30" ht="13.5" thickTop="1">
      <c r="A13" s="37">
        <v>9</v>
      </c>
      <c r="B13" s="39">
        <f>VALUE([1]Setup!L4)</f>
        <v>3</v>
      </c>
      <c r="C13" s="55"/>
      <c r="D13" s="56">
        <f t="shared" si="4"/>
        <v>3</v>
      </c>
      <c r="E13" s="56">
        <v>0</v>
      </c>
      <c r="F13" s="41">
        <f>IF(NOT($G13="-"),VLOOKUP($G13,'[1]AL MD'!$A$3:$E$34,2,FALSE),"")</f>
        <v>0</v>
      </c>
      <c r="G13" s="42">
        <f>VLOOKUP($B13,[1]Setup!$Q$4:$R$35,2,FALSE)</f>
        <v>3</v>
      </c>
      <c r="H13" s="37">
        <f>IF($G13&gt;0,VLOOKUP($G13,'[1]AL MD'!$A$3:$F$34,6,FALSE),0)</f>
        <v>35</v>
      </c>
      <c r="I13" s="42">
        <f>IF([1]Setup!$B$24="#",0,IF($G13&gt;0,VLOOKUP($G13,'[1]AL MD'!$A$3:$E$34,3,FALSE),0))</f>
        <v>30792</v>
      </c>
      <c r="J13" s="43" t="str">
        <f>IF($I13&gt;0,VLOOKUP($I13,'[1]AL MD'!$C$3:$E$34,2,FALSE),"bye")</f>
        <v>ΠΗΛΙΧΟΣ ΤΑΣΟΣ</v>
      </c>
      <c r="K13" s="44" t="str">
        <f t="shared" si="0"/>
        <v>ΠΗΛΙΧΟΣ</v>
      </c>
      <c r="L13" s="45" t="str">
        <f>IF($I13&gt;0,VLOOKUP($I13,'[1]AL MD'!$C$3:$E$34,3,FALSE),"")</f>
        <v>ΖΑΟΑ</v>
      </c>
      <c r="M13" s="46">
        <v>1</v>
      </c>
      <c r="N13" s="47" t="str">
        <f>UPPER(IF($A$2="R",IF(OR(M13=1,M13="a"),I13,IF(OR(M13=2,M13="b"),I14,"")),IF(OR(M13=1,M13="a"),K13,IF(OR(M13=2,M13="b"),K14,""))))</f>
        <v>ΠΗΛΙΧΟΣ</v>
      </c>
      <c r="O13" s="48"/>
      <c r="P13" s="89"/>
      <c r="R13" s="89"/>
      <c r="S13" s="78"/>
      <c r="T13" s="91" t="s">
        <v>15</v>
      </c>
      <c r="X13" s="48">
        <f t="shared" si="1"/>
        <v>30792</v>
      </c>
      <c r="Y13" s="48" t="str">
        <f t="shared" si="1"/>
        <v>ΠΗΛΙΧΟΣ ΤΑΣΟΣ</v>
      </c>
      <c r="Z13" s="52"/>
      <c r="AA13" s="65" t="str">
        <f t="shared" si="2"/>
        <v>ΠΗΛΙΧΟΣ</v>
      </c>
      <c r="AB13" s="65"/>
      <c r="AC13" s="65"/>
      <c r="AD13" s="92"/>
    </row>
    <row r="14" spans="1:30">
      <c r="A14" s="37">
        <v>10</v>
      </c>
      <c r="B14" s="39">
        <f>7-D14+8</f>
        <v>11</v>
      </c>
      <c r="C14" s="93">
        <f>B13</f>
        <v>3</v>
      </c>
      <c r="D14" s="56">
        <f t="shared" si="4"/>
        <v>4</v>
      </c>
      <c r="E14" s="56">
        <f>IF($B$2&gt;=C14,1,0)</f>
        <v>1</v>
      </c>
      <c r="F14" s="41" t="str">
        <f>IF(NOT($G14="-"),VLOOKUP($G14,'[1]AL MD'!$A$3:$E$34,2,FALSE),"")</f>
        <v/>
      </c>
      <c r="G14" s="37" t="str">
        <f>IF($B$2&gt;=C14,"-",VLOOKUP($B14,[1]Setup!$Q$4:$R$35,2,FALSE))</f>
        <v>-</v>
      </c>
      <c r="H14" s="37">
        <f>IF(NOT($G14="-"),VLOOKUP($G14,'[1]AL MD'!$A$3:$F$34,6,FALSE),0)</f>
        <v>0</v>
      </c>
      <c r="I14" s="37">
        <f>IF([1]Setup!$B$24="#",0,IF(NOT($G14="-"),VLOOKUP($G14,'[1]AL MD'!$A$3:$E$34,3,FALSE),0))</f>
        <v>0</v>
      </c>
      <c r="J14" s="94" t="str">
        <f>IF($I14&gt;0,VLOOKUP($I14,'[1]AL MD'!$C$3:$E$34,2,FALSE),"bye")</f>
        <v>bye</v>
      </c>
      <c r="K14" s="44" t="str">
        <f t="shared" si="0"/>
        <v/>
      </c>
      <c r="L14" s="95" t="str">
        <f>IF($I14&gt;0,VLOOKUP($I14,'[1]AL MD'!$C$3:$E$34,3,FALSE),"")</f>
        <v/>
      </c>
      <c r="M14" s="61"/>
      <c r="N14" s="62"/>
      <c r="O14" s="46">
        <v>1</v>
      </c>
      <c r="P14" s="47" t="str">
        <f>UPPER(IF($A$2="R",IF(OR(O14=1,O14="a"),N13,IF(OR(O14=2,O14="b"),N15,"")),IF(OR(O14=1,O14="a"),N13,IF(OR(O14=2,O14="b"),N15,""))))</f>
        <v>ΠΗΛΙΧΟΣ</v>
      </c>
      <c r="Q14" s="48"/>
      <c r="R14" s="89"/>
      <c r="S14" s="78"/>
      <c r="T14" s="96"/>
      <c r="X14" s="63">
        <f t="shared" si="1"/>
        <v>0</v>
      </c>
      <c r="Y14" s="63" t="str">
        <f t="shared" si="1"/>
        <v>bye</v>
      </c>
      <c r="Z14" s="64"/>
      <c r="AA14" s="72">
        <f t="shared" si="2"/>
        <v>0</v>
      </c>
      <c r="AB14" s="65" t="str">
        <f t="shared" si="3"/>
        <v>ΠΗΛΙΧΟΣ</v>
      </c>
      <c r="AC14" s="65"/>
      <c r="AD14" s="97"/>
    </row>
    <row r="15" spans="1:30">
      <c r="A15" s="66">
        <v>11</v>
      </c>
      <c r="B15" s="39">
        <f>8-D15+8</f>
        <v>12</v>
      </c>
      <c r="C15" s="55"/>
      <c r="D15" s="56">
        <f t="shared" si="4"/>
        <v>4</v>
      </c>
      <c r="E15" s="56">
        <v>0</v>
      </c>
      <c r="F15" s="67">
        <f>IF(NOT($G15="-"),VLOOKUP($G15,'[1]AL MD'!$A$3:$E$34,2,FALSE),"")</f>
        <v>0</v>
      </c>
      <c r="G15" s="66">
        <f>VLOOKUP($B15,[1]Setup!$Q$4:$R$35,2,FALSE)</f>
        <v>13</v>
      </c>
      <c r="H15" s="66">
        <f>IF($G15&gt;0,VLOOKUP($G15,'[1]AL MD'!$A$3:$F$34,6,FALSE),0)</f>
        <v>3</v>
      </c>
      <c r="I15" s="66">
        <f>IF([1]Setup!$B$24="#",0,IF($G15&gt;0,VLOOKUP($G15,'[1]AL MD'!$A$3:$E$34,3,FALSE),0))</f>
        <v>33191</v>
      </c>
      <c r="J15" s="68" t="str">
        <f>IF($I15&gt;0,VLOOKUP($I15,'[1]AL MD'!$C$3:$E$34,2,FALSE),"bye")</f>
        <v>ΚΟΥΤΣΙΟΜΑΡΗΣ ΣΤΕΛΙΟΣ</v>
      </c>
      <c r="K15" s="69" t="str">
        <f t="shared" si="0"/>
        <v>ΚΟΥΤΣΙΟΜΑΡΗΣ</v>
      </c>
      <c r="L15" s="70" t="str">
        <f>IF($I15&gt;0,VLOOKUP($I15,'[1]AL MD'!$C$3:$E$34,3,FALSE),"")</f>
        <v>ΑΟΑ ΠΑΤΡΩΝ</v>
      </c>
      <c r="M15" s="46">
        <v>2</v>
      </c>
      <c r="N15" s="47" t="str">
        <f>UPPER(IF($A$2="R",IF(OR(M15=1,M15="a"),I15,IF(OR(M15=2,M15="b"),I16,"")),IF(OR(M15=1,M15="a"),K15,IF(OR(M15=2,M15="b"),K16,""))))</f>
        <v>ΤΣΑΡΠΑΛΗΣ</v>
      </c>
      <c r="O15" s="61"/>
      <c r="P15" s="62" t="s">
        <v>16</v>
      </c>
      <c r="Q15" s="48"/>
      <c r="R15" s="89"/>
      <c r="S15" s="78"/>
      <c r="T15" s="96"/>
      <c r="X15" s="48">
        <f t="shared" si="1"/>
        <v>33191</v>
      </c>
      <c r="Y15" s="48" t="str">
        <f t="shared" si="1"/>
        <v>ΚΟΥΤΣΙΟΜΑΡΗΣ ΣΤΕΛΙΟΣ</v>
      </c>
      <c r="Z15" s="52"/>
      <c r="AA15" s="65" t="str">
        <f t="shared" si="2"/>
        <v>ΤΣΑΡΠΑΛΗΣ</v>
      </c>
      <c r="AB15" s="72" t="str">
        <f t="shared" si="3"/>
        <v>41  40</v>
      </c>
      <c r="AC15" s="65"/>
      <c r="AD15" s="97"/>
    </row>
    <row r="16" spans="1:30">
      <c r="A16" s="54">
        <v>12</v>
      </c>
      <c r="B16" s="39">
        <f>9-D16+8</f>
        <v>13</v>
      </c>
      <c r="C16" s="55">
        <v>13</v>
      </c>
      <c r="D16" s="56">
        <f t="shared" si="4"/>
        <v>4</v>
      </c>
      <c r="E16" s="56">
        <f>IF($B$2&gt;=C16,1,0)</f>
        <v>0</v>
      </c>
      <c r="F16" s="57">
        <f>IF(NOT($G16="-"),VLOOKUP($G16,'[1]AL MD'!$A$3:$E$34,2,FALSE),"")</f>
        <v>0</v>
      </c>
      <c r="G16" s="54">
        <f>IF($B$2&gt;=C16,"-",VLOOKUP($B16,[1]Setup!$Q$4:$R$35,2,FALSE))</f>
        <v>15</v>
      </c>
      <c r="H16" s="54" t="str">
        <f>IF(NOT($G16="-"),VLOOKUP($G16,'[1]AL MD'!$A$3:$F$34,6,FALSE),0)</f>
        <v>2.5</v>
      </c>
      <c r="I16" s="54">
        <f>IF([1]Setup!$B$24="#",0,IF(NOT($G16="-"),VLOOKUP($G16,'[1]AL MD'!$A$3:$E$34,3,FALSE),0))</f>
        <v>32099</v>
      </c>
      <c r="J16" s="58" t="str">
        <f>IF($I16&gt;0,VLOOKUP($I16,'[1]AL MD'!$C$3:$E$34,2,FALSE),"bye")</f>
        <v>ΤΣΑΡΠΑΛΗΣ ΔΗΜΗΤΡΗΣ</v>
      </c>
      <c r="K16" s="59" t="str">
        <f t="shared" si="0"/>
        <v>ΤΣΑΡΠΑΛΗΣ</v>
      </c>
      <c r="L16" s="60" t="str">
        <f>IF($I16&gt;0,VLOOKUP($I16,'[1]AL MD'!$C$3:$E$34,3,FALSE),"")</f>
        <v>ΟΑ ΑΙΓΙΑΛΕΙΑΣ</v>
      </c>
      <c r="M16" s="98"/>
      <c r="N16" s="79" t="s">
        <v>17</v>
      </c>
      <c r="O16" s="48"/>
      <c r="P16" s="74"/>
      <c r="Q16" s="75">
        <v>2</v>
      </c>
      <c r="R16" s="47" t="str">
        <f>UPPER(IF($A$2="R",IF(OR(Q16=1,Q16="a"),P14,IF(OR(Q16=2,Q16="b"),P18,"")),IF(OR(Q16=1,Q16="a"),P14,IF(OR(Q16=2,Q16="b"),P18,""))))</f>
        <v>ΜΗΤΣΑΚΟΣ</v>
      </c>
      <c r="S16" s="78"/>
      <c r="T16" s="96"/>
      <c r="X16" s="63">
        <f t="shared" si="1"/>
        <v>32099</v>
      </c>
      <c r="Y16" s="63" t="str">
        <f t="shared" si="1"/>
        <v>ΤΣΑΡΠΑΛΗΣ ΔΗΜΗΤΡΗΣ</v>
      </c>
      <c r="Z16" s="64"/>
      <c r="AA16" s="72" t="str">
        <f t="shared" si="2"/>
        <v>53  40</v>
      </c>
      <c r="AB16" s="65"/>
      <c r="AC16" s="71" t="str">
        <f>R16</f>
        <v>ΜΗΤΣΑΚΟΣ</v>
      </c>
      <c r="AD16" s="97"/>
    </row>
    <row r="17" spans="1:30">
      <c r="A17" s="37">
        <v>13</v>
      </c>
      <c r="B17" s="39">
        <f>10-D17+8</f>
        <v>14</v>
      </c>
      <c r="C17" s="55"/>
      <c r="D17" s="56">
        <f t="shared" si="4"/>
        <v>4</v>
      </c>
      <c r="E17" s="56">
        <v>0</v>
      </c>
      <c r="F17" s="41">
        <f>IF(NOT($G17="-"),VLOOKUP($G17,'[1]AL MD'!$A$3:$E$34,2,FALSE),"")</f>
        <v>0</v>
      </c>
      <c r="G17" s="37">
        <f>VLOOKUP($B17,[1]Setup!$Q$4:$R$35,2,FALSE)</f>
        <v>12</v>
      </c>
      <c r="H17" s="37" t="str">
        <f>IF($G17&gt;0,VLOOKUP($G17,'[1]AL MD'!$A$3:$F$34,6,FALSE),0)</f>
        <v>3.5</v>
      </c>
      <c r="I17" s="37">
        <f>IF([1]Setup!$B$24="#",0,IF($G17&gt;0,VLOOKUP($G17,'[1]AL MD'!$A$3:$E$34,3,FALSE),0))</f>
        <v>34517</v>
      </c>
      <c r="J17" s="94" t="str">
        <f>IF($I17&gt;0,VLOOKUP($I17,'[1]AL MD'!$C$3:$E$34,2,FALSE),"bye")</f>
        <v>ΧΟΥΣΟΣ ΠΑΝΑΓΙΩΤΗΣ</v>
      </c>
      <c r="K17" s="44" t="str">
        <f t="shared" si="0"/>
        <v>ΧΟΥΣΟΣ</v>
      </c>
      <c r="L17" s="95" t="str">
        <f>IF($I17&gt;0,VLOOKUP($I17,'[1]AL MD'!$C$3:$E$34,3,FALSE),"")</f>
        <v>ΟΑ ΡΙΟΥ</v>
      </c>
      <c r="M17" s="46">
        <v>1</v>
      </c>
      <c r="N17" s="47" t="str">
        <f>UPPER(IF($A$2="R",IF(OR(M17=1,M17="a"),I17,IF(OR(M17=2,M17="b"),I18,"")),IF(OR(M17=1,M17="a"),K17,IF(OR(M17=2,M17="b"),K18,""))))</f>
        <v>ΧΟΥΣΟΣ</v>
      </c>
      <c r="O17" s="48"/>
      <c r="P17" s="74"/>
      <c r="Q17" s="48"/>
      <c r="R17" s="79" t="s">
        <v>18</v>
      </c>
      <c r="T17" s="96"/>
      <c r="X17" s="48">
        <f t="shared" si="1"/>
        <v>34517</v>
      </c>
      <c r="Y17" s="48" t="str">
        <f t="shared" si="1"/>
        <v>ΧΟΥΣΟΣ ΠΑΝΑΓΙΩΤΗΣ</v>
      </c>
      <c r="Z17" s="52"/>
      <c r="AA17" s="65" t="str">
        <f t="shared" si="2"/>
        <v>ΧΟΥΣΟΣ</v>
      </c>
      <c r="AB17" s="65"/>
      <c r="AC17" s="48" t="str">
        <f>R17</f>
        <v>42  53</v>
      </c>
      <c r="AD17" s="97"/>
    </row>
    <row r="18" spans="1:30">
      <c r="A18" s="37">
        <v>14</v>
      </c>
      <c r="B18" s="39">
        <f>11-D18+8</f>
        <v>14</v>
      </c>
      <c r="C18" s="55">
        <v>11</v>
      </c>
      <c r="D18" s="56">
        <f t="shared" si="4"/>
        <v>5</v>
      </c>
      <c r="E18" s="56">
        <f>IF($B$2&gt;=C18,1,0)</f>
        <v>1</v>
      </c>
      <c r="F18" s="41" t="str">
        <f>IF(NOT($G18="-"),VLOOKUP($G18,'[1]AL MD'!$A$3:$E$34,2,FALSE),"")</f>
        <v/>
      </c>
      <c r="G18" s="37" t="str">
        <f>IF($B$2&gt;=C18,"-",VLOOKUP($B18,[1]Setup!$Q$4:$R$35,2,FALSE))</f>
        <v>-</v>
      </c>
      <c r="H18" s="37">
        <f>IF(NOT($G18="-"),VLOOKUP($G18,'[1]AL MD'!$A$3:$F$34,6,FALSE),0)</f>
        <v>0</v>
      </c>
      <c r="I18" s="37">
        <f>IF([1]Setup!$B$24="#",0,IF(NOT($G18="-"),VLOOKUP($G18,'[1]AL MD'!$A$3:$E$34,3,FALSE),0))</f>
        <v>0</v>
      </c>
      <c r="J18" s="94" t="str">
        <f>IF($I18&gt;0,VLOOKUP($I18,'[1]AL MD'!$C$3:$E$34,2,FALSE),"bye")</f>
        <v>bye</v>
      </c>
      <c r="K18" s="44" t="str">
        <f t="shared" si="0"/>
        <v/>
      </c>
      <c r="L18" s="95" t="str">
        <f>IF($I18&gt;0,VLOOKUP($I18,'[1]AL MD'!$C$3:$E$34,3,FALSE),"")</f>
        <v/>
      </c>
      <c r="M18" s="61"/>
      <c r="N18" s="62"/>
      <c r="O18" s="46">
        <v>2</v>
      </c>
      <c r="P18" s="47" t="str">
        <f>UPPER(IF($A$2="R",IF(OR(O18=1,O18="a"),N17,IF(OR(O18=2,O18="b"),N19,"")),IF(OR(O18=1,O18="a"),N17,IF(OR(O18=2,O18="b"),N19,""))))</f>
        <v>ΜΗΤΣΑΚΟΣ</v>
      </c>
      <c r="Q18" s="78"/>
      <c r="R18" s="89"/>
      <c r="T18" s="96"/>
      <c r="X18" s="63">
        <f t="shared" si="1"/>
        <v>0</v>
      </c>
      <c r="Y18" s="63" t="str">
        <f t="shared" si="1"/>
        <v>bye</v>
      </c>
      <c r="Z18" s="64"/>
      <c r="AA18" s="72">
        <f t="shared" si="2"/>
        <v>0</v>
      </c>
      <c r="AB18" s="65" t="str">
        <f t="shared" si="3"/>
        <v>ΜΗΤΣΑΚΟΣ</v>
      </c>
      <c r="AC18" s="48"/>
      <c r="AD18" s="97"/>
    </row>
    <row r="19" spans="1:30">
      <c r="A19" s="66">
        <v>15</v>
      </c>
      <c r="B19" s="39">
        <f>12-D19+8</f>
        <v>14</v>
      </c>
      <c r="C19" s="55">
        <f>B20</f>
        <v>5</v>
      </c>
      <c r="D19" s="56">
        <f t="shared" si="4"/>
        <v>6</v>
      </c>
      <c r="E19" s="56">
        <f>IF($B$2&gt;=C19,1,0)</f>
        <v>1</v>
      </c>
      <c r="F19" s="67" t="str">
        <f>IF(NOT($G19="-"),VLOOKUP($G19,'[1]AL MD'!$A$3:$E$34,2,FALSE),"")</f>
        <v/>
      </c>
      <c r="G19" s="66" t="str">
        <f>IF($B$2&gt;=C19,"-",VLOOKUP($B19,[1]Setup!$Q$4:$R$35,2,FALSE))</f>
        <v>-</v>
      </c>
      <c r="H19" s="66">
        <f>IF(NOT($G19="-"),VLOOKUP($G19,'[1]AL MD'!$A$3:$F$34,6,FALSE),0)</f>
        <v>0</v>
      </c>
      <c r="I19" s="66">
        <f>IF([1]Setup!$B$24="#",0,IF(NOT($G19="-"),VLOOKUP($G19,'[1]AL MD'!$A$3:$E$34,3,FALSE),0))</f>
        <v>0</v>
      </c>
      <c r="J19" s="68" t="str">
        <f>IF($I19&gt;0,VLOOKUP($I19,'[1]AL MD'!$C$3:$E$34,2,FALSE),"bye")</f>
        <v>bye</v>
      </c>
      <c r="K19" s="69" t="str">
        <f t="shared" si="0"/>
        <v/>
      </c>
      <c r="L19" s="70" t="str">
        <f>IF($I19&gt;0,VLOOKUP($I19,'[1]AL MD'!$C$3:$E$34,3,FALSE),"")</f>
        <v/>
      </c>
      <c r="M19" s="46">
        <v>2</v>
      </c>
      <c r="N19" s="47" t="str">
        <f>UPPER(IF($A$2="R",IF(OR(M19=1,M19="a"),I19,IF(OR(M19=2,M19="b"),I20,"")),IF(OR(M19=1,M19="a"),K19,IF(OR(M19=2,M19="b"),K20,""))))</f>
        <v>ΜΗΤΣΑΚΟΣ</v>
      </c>
      <c r="O19" s="61"/>
      <c r="P19" s="79" t="s">
        <v>19</v>
      </c>
      <c r="Q19" s="48"/>
      <c r="R19" s="89"/>
      <c r="T19" s="96"/>
      <c r="X19" s="48">
        <f t="shared" si="1"/>
        <v>0</v>
      </c>
      <c r="Y19" s="48" t="str">
        <f t="shared" si="1"/>
        <v>bye</v>
      </c>
      <c r="Z19" s="52"/>
      <c r="AA19" s="65" t="str">
        <f t="shared" si="2"/>
        <v>ΜΗΤΣΑΚΟΣ</v>
      </c>
      <c r="AB19" s="72" t="str">
        <f t="shared" si="3"/>
        <v>41  54(4)</v>
      </c>
      <c r="AC19" s="48"/>
      <c r="AD19" s="97"/>
    </row>
    <row r="20" spans="1:30" ht="13.5" thickBot="1">
      <c r="A20" s="80">
        <v>16</v>
      </c>
      <c r="B20" s="99">
        <f>VALUE([1]Setup!L8)</f>
        <v>5</v>
      </c>
      <c r="C20" s="82"/>
      <c r="D20" s="83">
        <f t="shared" si="4"/>
        <v>6</v>
      </c>
      <c r="E20" s="83">
        <v>0</v>
      </c>
      <c r="F20" s="84">
        <f>IF(NOT($G20="-"),VLOOKUP($G20,'[1]AL MD'!$A$3:$E$34,2,FALSE),"")</f>
        <v>0</v>
      </c>
      <c r="G20" s="85">
        <f>VLOOKUP($B20,[1]Setup!$Q$4:$R$35,2,FALSE)</f>
        <v>5</v>
      </c>
      <c r="H20" s="80" t="str">
        <f>IF($G20&gt;0,VLOOKUP($G20,'[1]AL MD'!$A$3:$F$34,6,FALSE),0)</f>
        <v>15.5</v>
      </c>
      <c r="I20" s="85">
        <f>IF([1]Setup!$B$24="#",0,IF($G20&gt;0,VLOOKUP($G20,'[1]AL MD'!$A$3:$E$34,3,FALSE),0))</f>
        <v>31353</v>
      </c>
      <c r="J20" s="86" t="str">
        <f>IF($I20&gt;0,VLOOKUP($I20,'[1]AL MD'!$C$3:$E$34,2,FALSE),"bye")</f>
        <v>ΜΗΤΣΑΚΟΣ ΘΕΟΔΩΡΟΣ</v>
      </c>
      <c r="K20" s="87" t="str">
        <f t="shared" si="0"/>
        <v>ΜΗΤΣΑΚΟΣ</v>
      </c>
      <c r="L20" s="88" t="str">
        <f>IF($I20&gt;0,VLOOKUP($I20,'[1]AL MD'!$C$3:$E$34,3,FALSE),"")</f>
        <v>ΡΗΓΑΣ ΑΟΑΑ</v>
      </c>
      <c r="M20" s="61"/>
      <c r="N20" s="79"/>
      <c r="O20" s="48"/>
      <c r="P20" s="89"/>
      <c r="Q20" s="48"/>
      <c r="R20" s="89"/>
      <c r="S20" s="100">
        <v>1</v>
      </c>
      <c r="T20" s="101" t="str">
        <f>UPPER(IF($A$2="R",IF(OR(S20=1,S20="a"),T12,IF(OR(S20=2,S20="b"),T28,"")),IF(OR(S20=1,S20="a"),T12,IF(OR(S20=2,S20="b"),T28,""))))</f>
        <v>ΚΑΛΛΙΣΤΡΟΣ</v>
      </c>
      <c r="X20" s="63">
        <f t="shared" si="1"/>
        <v>31353</v>
      </c>
      <c r="Y20" s="63" t="str">
        <f t="shared" si="1"/>
        <v>ΜΗΤΣΑΚΟΣ ΘΕΟΔΩΡΟΣ</v>
      </c>
      <c r="Z20" s="76"/>
      <c r="AA20" s="72">
        <f t="shared" si="2"/>
        <v>0</v>
      </c>
      <c r="AB20" s="65"/>
      <c r="AC20" s="48"/>
      <c r="AD20" s="102" t="str">
        <f>T20</f>
        <v>ΚΑΛΛΙΣΤΡΟΣ</v>
      </c>
    </row>
    <row r="21" spans="1:30" ht="13.5" thickTop="1">
      <c r="A21" s="37">
        <v>17</v>
      </c>
      <c r="B21" s="38">
        <f>VALUE([1]Setup!L9)</f>
        <v>7</v>
      </c>
      <c r="C21" s="55"/>
      <c r="D21" s="56">
        <f t="shared" si="4"/>
        <v>6</v>
      </c>
      <c r="E21" s="56">
        <v>0</v>
      </c>
      <c r="F21" s="41">
        <f>IF(NOT($G21="-"),VLOOKUP($G21,'[1]AL MD'!$A$3:$E$34,2,FALSE),"")</f>
        <v>0</v>
      </c>
      <c r="G21" s="42">
        <f>VLOOKUP($B21,[1]Setup!$Q$4:$R$35,2,FALSE)</f>
        <v>7</v>
      </c>
      <c r="H21" s="37">
        <f>IF($G21&gt;0,VLOOKUP($G21,'[1]AL MD'!$A$3:$F$34,6,FALSE),0)</f>
        <v>7</v>
      </c>
      <c r="I21" s="42">
        <f>IF([1]Setup!$B$24="#",0,IF($G21&gt;0,VLOOKUP($G21,'[1]AL MD'!$A$3:$E$34,3,FALSE),0))</f>
        <v>33082</v>
      </c>
      <c r="J21" s="43" t="str">
        <f>IF($I21&gt;0,VLOOKUP($I21,'[1]AL MD'!$C$3:$E$34,2,FALSE),"bye")</f>
        <v>ΚΑΠΟΛΟΣ ΝΙΚΟΛΑΟΣ</v>
      </c>
      <c r="K21" s="44" t="str">
        <f t="shared" si="0"/>
        <v>ΚΑΠΟΛΟΣ</v>
      </c>
      <c r="L21" s="45" t="str">
        <f>IF($I21&gt;0,VLOOKUP($I21,'[1]AL MD'!$C$3:$E$34,3,FALSE),"")</f>
        <v>ΑΟΑ ΠΑΤΡΩΝ</v>
      </c>
      <c r="M21" s="46">
        <v>1</v>
      </c>
      <c r="N21" s="47" t="str">
        <f>UPPER(IF($A$2="R",IF(OR(M21=1,M21="a"),I21,IF(OR(M21=2,M21="b"),I22,"")),IF(OR(M21=1,M21="a"),K21,IF(OR(M21=2,M21="b"),K22,""))))</f>
        <v>ΚΑΠΟΛΟΣ</v>
      </c>
      <c r="O21" s="48"/>
      <c r="P21" s="89"/>
      <c r="R21" s="89"/>
      <c r="S21" s="51"/>
      <c r="T21" s="103" t="s">
        <v>20</v>
      </c>
      <c r="X21" s="48">
        <f t="shared" si="1"/>
        <v>33082</v>
      </c>
      <c r="Y21" s="48" t="str">
        <f t="shared" si="1"/>
        <v>ΚΑΠΟΛΟΣ ΝΙΚΟΛΑΟΣ</v>
      </c>
      <c r="Z21" s="64"/>
      <c r="AA21" s="71" t="str">
        <f t="shared" si="2"/>
        <v>ΚΑΠΟΛΟΣ</v>
      </c>
      <c r="AB21" s="65"/>
      <c r="AC21" s="48"/>
      <c r="AD21" s="97" t="str">
        <f>T21</f>
        <v>63  63</v>
      </c>
    </row>
    <row r="22" spans="1:30">
      <c r="A22" s="54">
        <v>18</v>
      </c>
      <c r="B22" s="39">
        <f>13-D22+8</f>
        <v>14</v>
      </c>
      <c r="C22" s="55">
        <f>B21</f>
        <v>7</v>
      </c>
      <c r="D22" s="56">
        <f t="shared" si="4"/>
        <v>7</v>
      </c>
      <c r="E22" s="56">
        <f>IF($B$2&gt;=C22,1,0)</f>
        <v>1</v>
      </c>
      <c r="F22" s="57" t="str">
        <f>IF(NOT($G22="-"),VLOOKUP($G22,'[1]AL MD'!$A$3:$E$34,2,FALSE),"")</f>
        <v/>
      </c>
      <c r="G22" s="54" t="str">
        <f>IF($B$2&gt;=C22,"-",VLOOKUP($B22,[1]Setup!$Q$4:$R$35,2,FALSE))</f>
        <v>-</v>
      </c>
      <c r="H22" s="54">
        <f>IF(NOT($G22="-"),VLOOKUP($G22,'[1]AL MD'!$A$3:$F$34,6,FALSE),0)</f>
        <v>0</v>
      </c>
      <c r="I22" s="54">
        <f>IF([1]Setup!$B$24="#",0,IF(NOT($G22="-"),VLOOKUP($G22,'[1]AL MD'!$A$3:$E$34,3,FALSE),0))</f>
        <v>0</v>
      </c>
      <c r="J22" s="58" t="str">
        <f>IF($I22&gt;0,VLOOKUP($I22,'[1]AL MD'!$C$3:$E$34,2,FALSE),"bye")</f>
        <v>bye</v>
      </c>
      <c r="K22" s="59" t="str">
        <f t="shared" si="0"/>
        <v/>
      </c>
      <c r="L22" s="60" t="str">
        <f>IF($I22&gt;0,VLOOKUP($I22,'[1]AL MD'!$C$3:$E$34,3,FALSE),"")</f>
        <v/>
      </c>
      <c r="M22" s="61"/>
      <c r="N22" s="62"/>
      <c r="O22" s="46">
        <v>2</v>
      </c>
      <c r="P22" s="47" t="str">
        <f>UPPER(IF($A$2="R",IF(OR(O22=1,O22="a"),N21,IF(OR(O22=2,O22="b"),N23,"")),IF(OR(O22=1,O22="a"),N21,IF(OR(O22=2,O22="b"),N23,""))))</f>
        <v>ΠΑΠΑΣΠΥΡΟΠΟΥΛΟΣ</v>
      </c>
      <c r="Q22" s="48"/>
      <c r="R22" s="89"/>
      <c r="T22" s="96"/>
      <c r="X22" s="63">
        <f t="shared" si="1"/>
        <v>0</v>
      </c>
      <c r="Y22" s="63" t="str">
        <f t="shared" si="1"/>
        <v>bye</v>
      </c>
      <c r="Z22" s="76"/>
      <c r="AA22" s="65">
        <f t="shared" si="2"/>
        <v>0</v>
      </c>
      <c r="AB22" s="65" t="str">
        <f t="shared" si="3"/>
        <v>ΠΑΠΑΣΠΥΡΟΠΟΥΛΟΣ</v>
      </c>
      <c r="AC22" s="48"/>
      <c r="AD22" s="97"/>
    </row>
    <row r="23" spans="1:30">
      <c r="A23" s="66">
        <v>19</v>
      </c>
      <c r="B23" s="39">
        <f>14-D23+8</f>
        <v>15</v>
      </c>
      <c r="C23" s="55"/>
      <c r="D23" s="56">
        <f t="shared" si="4"/>
        <v>7</v>
      </c>
      <c r="E23" s="56">
        <v>0</v>
      </c>
      <c r="F23" s="67">
        <f>IF(NOT($G23="-"),VLOOKUP($G23,'[1]AL MD'!$A$3:$E$34,2,FALSE),"")</f>
        <v>0</v>
      </c>
      <c r="G23" s="66">
        <f>VLOOKUP($B23,[1]Setup!$Q$4:$R$35,2,FALSE)</f>
        <v>9</v>
      </c>
      <c r="H23" s="66" t="str">
        <f>IF($G23&gt;0,VLOOKUP($G23,'[1]AL MD'!$A$3:$F$34,6,FALSE),0)</f>
        <v>4.5</v>
      </c>
      <c r="I23" s="66">
        <f>IF([1]Setup!$B$24="#",0,IF($G23&gt;0,VLOOKUP($G23,'[1]AL MD'!$A$3:$E$34,3,FALSE),0))</f>
        <v>33758</v>
      </c>
      <c r="J23" s="68" t="str">
        <f>IF($I23&gt;0,VLOOKUP($I23,'[1]AL MD'!$C$3:$E$34,2,FALSE),"bye")</f>
        <v>ΠΑΠΑΣΠΥΡΟΠΟΥΛΟΣ ΓΙΩΡΓΟΣ</v>
      </c>
      <c r="K23" s="69" t="str">
        <f t="shared" si="0"/>
        <v>ΠΑΠΑΣΠΥΡΟΠΟΥΛΟΣ</v>
      </c>
      <c r="L23" s="70" t="str">
        <f>IF($I23&gt;0,VLOOKUP($I23,'[1]AL MD'!$C$3:$E$34,3,FALSE),"")</f>
        <v>ΟΑ ΡΙΟΥ</v>
      </c>
      <c r="M23" s="46">
        <v>1</v>
      </c>
      <c r="N23" s="47" t="str">
        <f>UPPER(IF($A$2="R",IF(OR(M23=1,M23="a"),I23,IF(OR(M23=2,M23="b"),I24,"")),IF(OR(M23=1,M23="a"),K23,IF(OR(M23=2,M23="b"),K24,""))))</f>
        <v>ΠΑΠΑΣΠΥΡΟΠΟΥΛΟΣ</v>
      </c>
      <c r="O23" s="61"/>
      <c r="P23" s="62" t="s">
        <v>21</v>
      </c>
      <c r="Q23" s="48"/>
      <c r="R23" s="89"/>
      <c r="T23" s="96"/>
      <c r="X23" s="48">
        <f t="shared" si="1"/>
        <v>33758</v>
      </c>
      <c r="Y23" s="48" t="str">
        <f t="shared" si="1"/>
        <v>ΠΑΠΑΣΠΥΡΟΠΟΥΛΟΣ ΓΙΩΡΓΟΣ</v>
      </c>
      <c r="Z23" s="64"/>
      <c r="AA23" s="65" t="str">
        <f t="shared" si="2"/>
        <v>ΠΑΠΑΣΠΥΡΟΠΟΥΛΟΣ</v>
      </c>
      <c r="AB23" s="72" t="str">
        <f t="shared" si="3"/>
        <v>42  40</v>
      </c>
      <c r="AC23" s="48"/>
      <c r="AD23" s="97"/>
    </row>
    <row r="24" spans="1:30">
      <c r="A24" s="54">
        <v>20</v>
      </c>
      <c r="B24" s="39">
        <f>15-D24+8</f>
        <v>16</v>
      </c>
      <c r="C24" s="55">
        <v>12</v>
      </c>
      <c r="D24" s="56">
        <f t="shared" si="4"/>
        <v>7</v>
      </c>
      <c r="E24" s="56">
        <f>IF($B$2&gt;=C24,1,0)</f>
        <v>0</v>
      </c>
      <c r="F24" s="57">
        <f>IF(NOT($G24="-"),VLOOKUP($G24,'[1]AL MD'!$A$3:$E$34,2,FALSE),"")</f>
        <v>0</v>
      </c>
      <c r="G24" s="54">
        <f>IF($B$2&gt;=C24,"-",VLOOKUP($B24,[1]Setup!$Q$4:$R$35,2,FALSE))</f>
        <v>19</v>
      </c>
      <c r="H24" s="54">
        <f>IF(NOT($G24="-"),VLOOKUP($G24,'[1]AL MD'!$A$3:$F$34,6,FALSE),0)</f>
        <v>0</v>
      </c>
      <c r="I24" s="54">
        <f>IF([1]Setup!$B$24="#",0,IF(NOT($G24="-"),VLOOKUP($G24,'[1]AL MD'!$A$3:$E$34,3,FALSE),0))</f>
        <v>32964</v>
      </c>
      <c r="J24" s="58" t="str">
        <f>IF($I24&gt;0,VLOOKUP($I24,'[1]AL MD'!$C$3:$E$34,2,FALSE),"bye")</f>
        <v>ΣΟΥΛΗΣ ΚΩΝΣΤΑΝΤΙΝΟΣ</v>
      </c>
      <c r="K24" s="59" t="str">
        <f t="shared" si="0"/>
        <v>ΣΟΥΛΗΣ</v>
      </c>
      <c r="L24" s="60" t="str">
        <f>IF($I24&gt;0,VLOOKUP($I24,'[1]AL MD'!$C$3:$E$34,3,FALSE),"")</f>
        <v>ΖΑΟΑ</v>
      </c>
      <c r="M24" s="61"/>
      <c r="N24" s="73" t="s">
        <v>22</v>
      </c>
      <c r="O24" s="48"/>
      <c r="P24" s="74"/>
      <c r="Q24" s="46">
        <v>1</v>
      </c>
      <c r="R24" s="47" t="str">
        <f>UPPER(IF($A$2="R",IF(OR(Q24=1,Q24="a"),P22,IF(OR(Q24=2,Q24="b"),P26,"")),IF(OR(Q24=1,Q24="a"),P22,IF(OR(Q24=2,Q24="b"),P26,""))))</f>
        <v>ΠΑΠΑΣΠΥΡΟΠΟΥΛΟΣ</v>
      </c>
      <c r="T24" s="96"/>
      <c r="X24" s="63">
        <f t="shared" si="1"/>
        <v>32964</v>
      </c>
      <c r="Y24" s="63" t="str">
        <f t="shared" si="1"/>
        <v>ΣΟΥΛΗΣ ΚΩΝΣΤΑΝΤΙΝΟΣ</v>
      </c>
      <c r="Z24" s="64"/>
      <c r="AA24" s="72" t="str">
        <f t="shared" si="2"/>
        <v>42  42</v>
      </c>
      <c r="AB24" s="65"/>
      <c r="AC24" s="53" t="str">
        <f>R24</f>
        <v>ΠΑΠΑΣΠΥΡΟΠΟΥΛΟΣ</v>
      </c>
      <c r="AD24" s="97"/>
    </row>
    <row r="25" spans="1:30">
      <c r="A25" s="37">
        <v>21</v>
      </c>
      <c r="B25" s="39">
        <f>16-D25+8</f>
        <v>17</v>
      </c>
      <c r="C25" s="55"/>
      <c r="D25" s="56">
        <f t="shared" si="4"/>
        <v>7</v>
      </c>
      <c r="E25" s="56">
        <v>0</v>
      </c>
      <c r="F25" s="41">
        <f>IF(NOT($G25="-"),VLOOKUP($G25,'[1]AL MD'!$A$3:$E$34,2,FALSE),"")</f>
        <v>0</v>
      </c>
      <c r="G25" s="37">
        <f>VLOOKUP($B25,[1]Setup!$Q$4:$R$35,2,FALSE)</f>
        <v>17</v>
      </c>
      <c r="H25" s="37">
        <f>IF($G25&gt;0,VLOOKUP($G25,'[1]AL MD'!$A$3:$F$34,6,FALSE),0)</f>
        <v>1</v>
      </c>
      <c r="I25" s="37">
        <f>IF([1]Setup!$B$24="#",0,IF($G25&gt;0,VLOOKUP($G25,'[1]AL MD'!$A$3:$E$34,3,FALSE),0))</f>
        <v>32963</v>
      </c>
      <c r="J25" s="94" t="str">
        <f>IF($I25&gt;0,VLOOKUP($I25,'[1]AL MD'!$C$3:$E$34,2,FALSE),"bye")</f>
        <v>ΚΑΚΟΛΥΡΗΣ ΓΙΩΡΓΟΣ</v>
      </c>
      <c r="K25" s="44" t="str">
        <f t="shared" si="0"/>
        <v>ΚΑΚΟΛΥΡΗΣ</v>
      </c>
      <c r="L25" s="95" t="str">
        <f>IF($I25&gt;0,VLOOKUP($I25,'[1]AL MD'!$C$3:$E$34,3,FALSE),"")</f>
        <v>ΖΑΟΑ</v>
      </c>
      <c r="M25" s="46">
        <v>2</v>
      </c>
      <c r="N25" s="47" t="str">
        <f>UPPER(IF($A$2="R",IF(OR(M25=1,M25="a"),I25,IF(OR(M25=2,M25="b"),I26,"")),IF(OR(M25=1,M25="a"),K25,IF(OR(M25=2,M25="b"),K26,""))))</f>
        <v>ΣΤΑΜΑΤΟΠΟΥΛΟΣ</v>
      </c>
      <c r="O25" s="48"/>
      <c r="P25" s="74"/>
      <c r="Q25" s="48"/>
      <c r="R25" s="79" t="s">
        <v>23</v>
      </c>
      <c r="S25" s="78"/>
      <c r="T25" s="96"/>
      <c r="X25" s="48">
        <f t="shared" si="1"/>
        <v>32963</v>
      </c>
      <c r="Y25" s="48" t="str">
        <f t="shared" si="1"/>
        <v>ΚΑΚΟΛΥΡΗΣ ΓΙΩΡΓΟΣ</v>
      </c>
      <c r="Z25" s="52"/>
      <c r="AA25" s="71" t="str">
        <f t="shared" si="2"/>
        <v>ΣΤΑΜΑΤΟΠΟΥΛΟΣ</v>
      </c>
      <c r="AB25" s="65"/>
      <c r="AC25" s="72" t="str">
        <f>R25</f>
        <v>42  04  10-8</v>
      </c>
      <c r="AD25" s="97"/>
    </row>
    <row r="26" spans="1:30">
      <c r="A26" s="37">
        <v>22</v>
      </c>
      <c r="B26" s="39">
        <f>17-D26+8</f>
        <v>18</v>
      </c>
      <c r="C26" s="55">
        <v>14</v>
      </c>
      <c r="D26" s="56">
        <f t="shared" si="4"/>
        <v>7</v>
      </c>
      <c r="E26" s="56">
        <f>IF($B$2&gt;=C26,1,0)</f>
        <v>0</v>
      </c>
      <c r="F26" s="41">
        <f>IF(NOT($G26="-"),VLOOKUP($G26,'[1]AL MD'!$A$3:$E$34,2,FALSE),"")</f>
        <v>0</v>
      </c>
      <c r="G26" s="37">
        <f>IF($B$2&gt;=C26,"-",VLOOKUP($B26,[1]Setup!$Q$4:$R$35,2,FALSE))</f>
        <v>10</v>
      </c>
      <c r="H26" s="37">
        <f>IF(NOT($G26="-"),VLOOKUP($G26,'[1]AL MD'!$A$3:$F$34,6,FALSE),0)</f>
        <v>4</v>
      </c>
      <c r="I26" s="37">
        <f>IF([1]Setup!$B$24="#",0,IF(NOT($G26="-"),VLOOKUP($G26,'[1]AL MD'!$A$3:$E$34,3,FALSE),0))</f>
        <v>33076</v>
      </c>
      <c r="J26" s="94" t="str">
        <f>IF($I26&gt;0,VLOOKUP($I26,'[1]AL MD'!$C$3:$E$34,2,FALSE),"bye")</f>
        <v>ΣΤΑΜΑΤΟΠΟΥΛΟΣ ΙΩΑΝΝΗΣ</v>
      </c>
      <c r="K26" s="44" t="str">
        <f t="shared" si="0"/>
        <v>ΣΤΑΜΑΤΟΠΟΥΛΟΣ</v>
      </c>
      <c r="L26" s="95" t="str">
        <f>IF($I26&gt;0,VLOOKUP($I26,'[1]AL MD'!$C$3:$E$34,3,FALSE),"")</f>
        <v>ΑΟΑ ΠΑΤΡΩΝ</v>
      </c>
      <c r="M26" s="61"/>
      <c r="N26" s="62" t="s">
        <v>16</v>
      </c>
      <c r="O26" s="46">
        <v>2</v>
      </c>
      <c r="P26" s="47" t="str">
        <f>UPPER(IF($A$2="R",IF(OR(O26=1,O26="a"),N25,IF(OR(O26=2,O26="b"),N27,"")),IF(OR(O26=1,O26="a"),N25,IF(OR(O26=2,O26="b"),N27,""))))</f>
        <v>ΔΑΝΙΗΛΟΓΛΟΥ</v>
      </c>
      <c r="Q26" s="78"/>
      <c r="R26" s="89"/>
      <c r="S26" s="78"/>
      <c r="T26" s="96"/>
      <c r="X26" s="63">
        <f t="shared" si="1"/>
        <v>33076</v>
      </c>
      <c r="Y26" s="63" t="str">
        <f t="shared" si="1"/>
        <v>ΣΤΑΜΑΤΟΠΟΥΛΟΣ ΙΩΑΝΝΗΣ</v>
      </c>
      <c r="Z26" s="64"/>
      <c r="AA26" s="65" t="str">
        <f t="shared" si="2"/>
        <v>41  40</v>
      </c>
      <c r="AB26" s="65" t="str">
        <f t="shared" si="3"/>
        <v>ΔΑΝΙΗΛΟΓΛΟΥ</v>
      </c>
      <c r="AC26" s="65"/>
      <c r="AD26" s="97"/>
    </row>
    <row r="27" spans="1:30">
      <c r="A27" s="66">
        <v>23</v>
      </c>
      <c r="B27" s="39">
        <f>18-D27+8</f>
        <v>18</v>
      </c>
      <c r="C27" s="93">
        <f>B28</f>
        <v>4</v>
      </c>
      <c r="D27" s="56">
        <f t="shared" si="4"/>
        <v>8</v>
      </c>
      <c r="E27" s="56">
        <f>IF($B$2&gt;=C27,1,0)</f>
        <v>1</v>
      </c>
      <c r="F27" s="67" t="str">
        <f>IF(NOT($G27="-"),VLOOKUP($G27,'[1]AL MD'!$A$3:$E$34,2,FALSE),"")</f>
        <v/>
      </c>
      <c r="G27" s="66" t="str">
        <f>IF($B$2&gt;=C27,"-",VLOOKUP($B27,[1]Setup!$Q$4:$R$35,2,FALSE))</f>
        <v>-</v>
      </c>
      <c r="H27" s="66">
        <f>IF(NOT($G27="-"),VLOOKUP($G27,'[1]AL MD'!$A$3:$F$34,6,FALSE),0)</f>
        <v>0</v>
      </c>
      <c r="I27" s="66">
        <f>IF([1]Setup!$B$24="#",0,IF(NOT($G27="-"),VLOOKUP($G27,'[1]AL MD'!$A$3:$E$34,3,FALSE),0))</f>
        <v>0</v>
      </c>
      <c r="J27" s="68" t="str">
        <f>IF($I27&gt;0,VLOOKUP($I27,'[1]AL MD'!$C$3:$E$34,2,FALSE),"bye")</f>
        <v>bye</v>
      </c>
      <c r="K27" s="69" t="str">
        <f t="shared" si="0"/>
        <v/>
      </c>
      <c r="L27" s="70" t="str">
        <f>IF($I27&gt;0,VLOOKUP($I27,'[1]AL MD'!$C$3:$E$34,3,FALSE),"")</f>
        <v/>
      </c>
      <c r="M27" s="46">
        <v>2</v>
      </c>
      <c r="N27" s="47" t="str">
        <f>UPPER(IF($A$2="R",IF(OR(M27=1,M27="a"),I27,IF(OR(M27=2,M27="b"),I28,"")),IF(OR(M27=1,M27="a"),K27,IF(OR(M27=2,M27="b"),K28,""))))</f>
        <v>ΔΑΝΙΗΛΟΓΛΟΥ</v>
      </c>
      <c r="O27" s="61"/>
      <c r="P27" s="79" t="s">
        <v>24</v>
      </c>
      <c r="Q27" s="48"/>
      <c r="R27" s="89"/>
      <c r="S27" s="78"/>
      <c r="T27" s="96"/>
      <c r="X27" s="48">
        <f t="shared" si="1"/>
        <v>0</v>
      </c>
      <c r="Y27" s="48" t="str">
        <f t="shared" si="1"/>
        <v>bye</v>
      </c>
      <c r="Z27" s="52"/>
      <c r="AA27" s="71" t="str">
        <f t="shared" si="2"/>
        <v>ΔΑΝΙΗΛΟΓΛΟΥ</v>
      </c>
      <c r="AB27" s="72" t="str">
        <f t="shared" si="3"/>
        <v>41  42</v>
      </c>
      <c r="AC27" s="65"/>
      <c r="AD27" s="97"/>
    </row>
    <row r="28" spans="1:30" ht="13.5" thickBot="1">
      <c r="A28" s="80">
        <v>24</v>
      </c>
      <c r="B28" s="99">
        <f>VALUE([1]Setup!L5)</f>
        <v>4</v>
      </c>
      <c r="C28" s="82"/>
      <c r="D28" s="83">
        <f t="shared" si="4"/>
        <v>8</v>
      </c>
      <c r="E28" s="83">
        <v>0</v>
      </c>
      <c r="F28" s="84">
        <f>IF(NOT($G28="-"),VLOOKUP($G28,'[1]AL MD'!$A$3:$E$34,2,FALSE),"")</f>
        <v>0</v>
      </c>
      <c r="G28" s="85">
        <f>VLOOKUP($B28,[1]Setup!$Q$4:$R$35,2,FALSE)</f>
        <v>4</v>
      </c>
      <c r="H28" s="80">
        <f>IF($G28&gt;0,VLOOKUP($G28,'[1]AL MD'!$A$3:$F$34,6,FALSE),0)</f>
        <v>18</v>
      </c>
      <c r="I28" s="85">
        <f>IF([1]Setup!$B$24="#",0,IF($G28&gt;0,VLOOKUP($G28,'[1]AL MD'!$A$3:$E$34,3,FALSE),0))</f>
        <v>25561</v>
      </c>
      <c r="J28" s="86" t="str">
        <f>IF($I28&gt;0,VLOOKUP($I28,'[1]AL MD'!$C$3:$E$34,2,FALSE),"bye")</f>
        <v>ΔΑΝΙΗΛΟΓΛΟΥ ΣΑΒΒΑΣ</v>
      </c>
      <c r="K28" s="87" t="str">
        <f t="shared" si="0"/>
        <v>ΔΑΝΙΗΛΟΓΛΟΥ</v>
      </c>
      <c r="L28" s="88" t="str">
        <f>IF($I28&gt;0,VLOOKUP($I28,'[1]AL MD'!$C$3:$E$34,3,FALSE),"")</f>
        <v>ΡΗΓΑΣ ΑΟΑΑ</v>
      </c>
      <c r="M28" s="61"/>
      <c r="N28" s="79"/>
      <c r="P28" s="89"/>
      <c r="R28" s="89"/>
      <c r="S28" s="46">
        <v>2</v>
      </c>
      <c r="T28" s="104" t="str">
        <f>UPPER(IF($A$2="R",IF(OR(S28=1,S28="a"),R24,IF(OR(S28=2,S28="b"),R32,"")),IF(OR(S28=1,S28="a"),R24,IF(OR(S28=2,S28="b"),R32,""))))</f>
        <v>ΚΑΜΠΑΝΟΣ</v>
      </c>
      <c r="X28" s="63">
        <f t="shared" si="1"/>
        <v>25561</v>
      </c>
      <c r="Y28" s="63" t="str">
        <f t="shared" si="1"/>
        <v>ΔΑΝΙΗΛΟΓΛΟΥ ΣΑΒΒΑΣ</v>
      </c>
      <c r="Z28" s="64"/>
      <c r="AA28" s="65">
        <f t="shared" si="2"/>
        <v>0</v>
      </c>
      <c r="AB28" s="65"/>
      <c r="AC28" s="65"/>
      <c r="AD28" s="102" t="str">
        <f>T28</f>
        <v>ΚΑΜΠΑΝΟΣ</v>
      </c>
    </row>
    <row r="29" spans="1:30" ht="13.5" thickTop="1">
      <c r="A29" s="37">
        <v>25</v>
      </c>
      <c r="B29" s="38">
        <f>VALUE([1]Setup!L10)</f>
        <v>8</v>
      </c>
      <c r="C29" s="55"/>
      <c r="D29" s="56">
        <f t="shared" si="4"/>
        <v>8</v>
      </c>
      <c r="E29" s="56">
        <v>0</v>
      </c>
      <c r="F29" s="41">
        <f>IF(NOT($G29="-"),VLOOKUP($G29,'[1]AL MD'!$A$3:$E$34,2,FALSE),"")</f>
        <v>0</v>
      </c>
      <c r="G29" s="42">
        <f>VLOOKUP($B29,[1]Setup!$Q$4:$R$35,2,FALSE)</f>
        <v>8</v>
      </c>
      <c r="H29" s="37" t="str">
        <f>IF($G29&gt;0,VLOOKUP($G29,'[1]AL MD'!$A$3:$F$34,6,FALSE),0)</f>
        <v>5.5</v>
      </c>
      <c r="I29" s="42">
        <f>IF([1]Setup!$B$24="#",0,IF($G29&gt;0,VLOOKUP($G29,'[1]AL MD'!$A$3:$E$34,3,FALSE),0))</f>
        <v>33767</v>
      </c>
      <c r="J29" s="43" t="str">
        <f>IF($I29&gt;0,VLOOKUP($I29,'[1]AL MD'!$C$3:$E$34,2,FALSE),"bye")</f>
        <v>ΠΑΠΠΑΣ ΕΥΑΓΓΕΛΟΣ</v>
      </c>
      <c r="K29" s="44" t="str">
        <f t="shared" si="0"/>
        <v>ΠΑΠΠΑΣ</v>
      </c>
      <c r="L29" s="45" t="str">
        <f>IF($I29&gt;0,VLOOKUP($I29,'[1]AL MD'!$C$3:$E$34,3,FALSE),"")</f>
        <v>ΟΑ ΡΙΟΥ</v>
      </c>
      <c r="M29" s="46">
        <v>1</v>
      </c>
      <c r="N29" s="47" t="str">
        <f>UPPER(IF($A$2="R",IF(OR(M29=1,M29="a"),I29,IF(OR(M29=2,M29="b"),I30,"")),IF(OR(M29=1,M29="a"),K29,IF(OR(M29=2,M29="b"),K30,""))))</f>
        <v>ΠΑΠΠΑΣ</v>
      </c>
      <c r="O29" s="48"/>
      <c r="P29" s="89"/>
      <c r="R29" s="74"/>
      <c r="T29" s="105" t="s">
        <v>25</v>
      </c>
      <c r="X29" s="48">
        <f t="shared" si="1"/>
        <v>33767</v>
      </c>
      <c r="Y29" s="48" t="str">
        <f t="shared" si="1"/>
        <v>ΠΑΠΠΑΣ ΕΥΑΓΓΕΛΟΣ</v>
      </c>
      <c r="Z29" s="52"/>
      <c r="AA29" s="65" t="str">
        <f t="shared" si="2"/>
        <v>ΠΑΠΠΑΣ</v>
      </c>
      <c r="AB29" s="65"/>
      <c r="AC29" s="65"/>
      <c r="AD29" s="7" t="str">
        <f>T29</f>
        <v>26  61  63</v>
      </c>
    </row>
    <row r="30" spans="1:30">
      <c r="A30" s="54">
        <v>26</v>
      </c>
      <c r="B30" s="39">
        <f>19-D30+8</f>
        <v>18</v>
      </c>
      <c r="C30" s="55">
        <f>B29</f>
        <v>8</v>
      </c>
      <c r="D30" s="56">
        <f t="shared" si="4"/>
        <v>9</v>
      </c>
      <c r="E30" s="56">
        <f>IF($B$2&gt;=C30,1,0)</f>
        <v>1</v>
      </c>
      <c r="F30" s="57" t="str">
        <f>IF(NOT($G30="-"),VLOOKUP($G30,'[1]AL MD'!$A$3:$E$34,2,FALSE),"")</f>
        <v/>
      </c>
      <c r="G30" s="54" t="str">
        <f>IF($B$2&gt;=C30,"-",VLOOKUP($B30,[1]Setup!$Q$4:$R$35,2,FALSE))</f>
        <v>-</v>
      </c>
      <c r="H30" s="54">
        <f>IF(NOT($G30="-"),VLOOKUP($G30,'[1]AL MD'!$A$3:$F$34,6,FALSE),0)</f>
        <v>0</v>
      </c>
      <c r="I30" s="54">
        <f>IF([1]Setup!$B$24="#",0,IF(NOT($G30="-"),VLOOKUP($G30,'[1]AL MD'!$A$3:$E$34,3,FALSE),0))</f>
        <v>0</v>
      </c>
      <c r="J30" s="58" t="str">
        <f>IF($I30&gt;0,VLOOKUP($I30,'[1]AL MD'!$C$3:$E$34,2,FALSE),"bye")</f>
        <v>bye</v>
      </c>
      <c r="K30" s="59" t="str">
        <f t="shared" si="0"/>
        <v/>
      </c>
      <c r="L30" s="60" t="str">
        <f>IF($I30&gt;0,VLOOKUP($I30,'[1]AL MD'!$C$3:$E$34,3,FALSE),"")</f>
        <v/>
      </c>
      <c r="M30" s="61"/>
      <c r="N30" s="62"/>
      <c r="O30" s="46">
        <v>2</v>
      </c>
      <c r="P30" s="47" t="str">
        <f>UPPER(IF($A$2="R",IF(OR(O30=1,O30="a"),N29,IF(OR(O30=2,O30="b"),N31,"")),IF(OR(O30=1,O30="a"),N29,IF(OR(O30=2,O30="b"),N31,""))))</f>
        <v>ΚΑΜΠΑΝΟΣ</v>
      </c>
      <c r="Q30" s="48"/>
      <c r="R30" s="74"/>
      <c r="T30" s="49"/>
      <c r="X30" s="63">
        <f t="shared" si="1"/>
        <v>0</v>
      </c>
      <c r="Y30" s="63" t="str">
        <f t="shared" si="1"/>
        <v>bye</v>
      </c>
      <c r="Z30" s="64"/>
      <c r="AA30" s="72">
        <f t="shared" si="2"/>
        <v>0</v>
      </c>
      <c r="AB30" s="65" t="str">
        <f t="shared" si="3"/>
        <v>ΚΑΜΠΑΝΟΣ</v>
      </c>
      <c r="AC30" s="65"/>
      <c r="AD30" s="48"/>
    </row>
    <row r="31" spans="1:30">
      <c r="A31" s="37">
        <v>27</v>
      </c>
      <c r="B31" s="39">
        <f>20-D31+8</f>
        <v>19</v>
      </c>
      <c r="C31" s="55"/>
      <c r="D31" s="56">
        <f t="shared" si="4"/>
        <v>9</v>
      </c>
      <c r="E31" s="56">
        <v>0</v>
      </c>
      <c r="F31" s="41">
        <f>IF(NOT($G31="-"),VLOOKUP($G31,'[1]AL MD'!$A$3:$E$34,2,FALSE),"")</f>
        <v>0</v>
      </c>
      <c r="G31" s="37">
        <f>VLOOKUP($B31,[1]Setup!$Q$4:$R$35,2,FALSE)</f>
        <v>14</v>
      </c>
      <c r="H31" s="37" t="str">
        <f>IF($G31&gt;0,VLOOKUP($G31,'[1]AL MD'!$A$3:$F$34,6,FALSE),0)</f>
        <v>2.5</v>
      </c>
      <c r="I31" s="37">
        <f>IF([1]Setup!$B$24="#",0,IF($G31&gt;0,VLOOKUP($G31,'[1]AL MD'!$A$3:$E$34,3,FALSE),0))</f>
        <v>31090</v>
      </c>
      <c r="J31" s="94" t="str">
        <f>IF($I31&gt;0,VLOOKUP($I31,'[1]AL MD'!$C$3:$E$34,2,FALSE),"bye")</f>
        <v>ΚΑΜΠΑΝΟΣ ΕΥΘΥΜΗΣ</v>
      </c>
      <c r="K31" s="44" t="str">
        <f t="shared" si="0"/>
        <v>ΚΑΜΠΑΝΟΣ</v>
      </c>
      <c r="L31" s="95" t="str">
        <f>IF($I31&gt;0,VLOOKUP($I31,'[1]AL MD'!$C$3:$E$34,3,FALSE),"")</f>
        <v>ΚΟΑ</v>
      </c>
      <c r="M31" s="46">
        <v>1</v>
      </c>
      <c r="N31" s="47" t="str">
        <f>UPPER(IF($A$2="R",IF(OR(M31=1,M31="a"),I31,IF(OR(M31=2,M31="b"),I32,"")),IF(OR(M31=1,M31="a"),K31,IF(OR(M31=2,M31="b"),K32,""))))</f>
        <v>ΚΑΜΠΑΝΟΣ</v>
      </c>
      <c r="O31" s="61"/>
      <c r="P31" s="62" t="s">
        <v>26</v>
      </c>
      <c r="Q31" s="48"/>
      <c r="R31" s="74"/>
      <c r="T31" s="49"/>
      <c r="X31" s="48">
        <f t="shared" si="1"/>
        <v>31090</v>
      </c>
      <c r="Y31" s="48" t="str">
        <f t="shared" si="1"/>
        <v>ΚΑΜΠΑΝΟΣ ΕΥΘΥΜΗΣ</v>
      </c>
      <c r="Z31" s="52"/>
      <c r="AA31" s="71" t="str">
        <f t="shared" si="2"/>
        <v>ΚΑΜΠΑΝΟΣ</v>
      </c>
      <c r="AB31" s="72" t="str">
        <f t="shared" si="3"/>
        <v>40  42</v>
      </c>
      <c r="AC31" s="65"/>
      <c r="AD31" s="48"/>
    </row>
    <row r="32" spans="1:30">
      <c r="A32" s="37">
        <v>28</v>
      </c>
      <c r="B32" s="39">
        <f>21-D32+8</f>
        <v>19</v>
      </c>
      <c r="C32" s="55">
        <v>10</v>
      </c>
      <c r="D32" s="56">
        <f t="shared" si="4"/>
        <v>10</v>
      </c>
      <c r="E32" s="56">
        <f>IF($B$2&gt;=C32,1,0)</f>
        <v>1</v>
      </c>
      <c r="F32" s="41" t="str">
        <f>IF(NOT($G32="-"),VLOOKUP($G32,'[1]AL MD'!$A$3:$E$34,2,FALSE),"")</f>
        <v/>
      </c>
      <c r="G32" s="37" t="str">
        <f>IF($B$2&gt;=C32,"-",VLOOKUP($B32,[1]Setup!$Q$4:$R$35,2,FALSE))</f>
        <v>-</v>
      </c>
      <c r="H32" s="37">
        <f>IF(NOT($G32="-"),VLOOKUP($G32,'[1]AL MD'!$A$3:$F$34,6,FALSE),0)</f>
        <v>0</v>
      </c>
      <c r="I32" s="37">
        <f>IF([1]Setup!$B$24="#",0,IF(NOT($G32="-"),VLOOKUP($G32,'[1]AL MD'!$A$3:$E$34,3,FALSE),0))</f>
        <v>0</v>
      </c>
      <c r="J32" s="94" t="str">
        <f>IF($I32&gt;0,VLOOKUP($I32,'[1]AL MD'!$C$3:$E$34,2,FALSE),"bye")</f>
        <v>bye</v>
      </c>
      <c r="K32" s="44" t="str">
        <f t="shared" si="0"/>
        <v/>
      </c>
      <c r="L32" s="95" t="str">
        <f>IF($I32&gt;0,VLOOKUP($I32,'[1]AL MD'!$C$3:$E$34,3,FALSE),"")</f>
        <v/>
      </c>
      <c r="M32" s="98"/>
      <c r="N32" s="73"/>
      <c r="O32" s="48"/>
      <c r="P32" s="74"/>
      <c r="Q32" s="46">
        <v>1</v>
      </c>
      <c r="R32" s="47" t="str">
        <f>UPPER(IF($A$2="R",IF(OR(Q32=1,Q32="a"),P30,IF(OR(Q32=2,Q32="b"),P34,"")),IF(OR(Q32=1,Q32="a"),P30,IF(OR(Q32=2,Q32="b"),P34,""))))</f>
        <v>ΚΑΜΠΑΝΟΣ</v>
      </c>
      <c r="S32" s="78"/>
      <c r="T32" s="49"/>
      <c r="X32" s="63">
        <f t="shared" si="1"/>
        <v>0</v>
      </c>
      <c r="Y32" s="63" t="str">
        <f t="shared" si="1"/>
        <v>bye</v>
      </c>
      <c r="Z32" s="76"/>
      <c r="AA32" s="65">
        <f t="shared" si="2"/>
        <v>0</v>
      </c>
      <c r="AB32" s="65"/>
      <c r="AC32" s="71" t="str">
        <f>R32</f>
        <v>ΚΑΜΠΑΝΟΣ</v>
      </c>
      <c r="AD32" s="48"/>
    </row>
    <row r="33" spans="1:30">
      <c r="A33" s="66">
        <v>29</v>
      </c>
      <c r="B33" s="39">
        <f>22-D33+8</f>
        <v>20</v>
      </c>
      <c r="C33" s="55"/>
      <c r="D33" s="56">
        <f t="shared" si="4"/>
        <v>10</v>
      </c>
      <c r="E33" s="56">
        <v>0</v>
      </c>
      <c r="F33" s="67">
        <f>IF(NOT($G33="-"),VLOOKUP($G33,'[1]AL MD'!$A$3:$E$34,2,FALSE),"")</f>
        <v>0</v>
      </c>
      <c r="G33" s="66">
        <f>VLOOKUP($B33,[1]Setup!$Q$4:$R$35,2,FALSE)</f>
        <v>11</v>
      </c>
      <c r="H33" s="66" t="str">
        <f>IF($G33&gt;0,VLOOKUP($G33,'[1]AL MD'!$A$3:$F$34,6,FALSE),0)</f>
        <v>3.5</v>
      </c>
      <c r="I33" s="66">
        <f>IF([1]Setup!$B$24="#",0,IF($G33&gt;0,VLOOKUP($G33,'[1]AL MD'!$A$3:$E$34,3,FALSE),0))</f>
        <v>33361</v>
      </c>
      <c r="J33" s="68" t="str">
        <f>IF($I33&gt;0,VLOOKUP($I33,'[1]AL MD'!$C$3:$E$34,2,FALSE),"bye")</f>
        <v>ΑΠΟΣΤΟΛΟΠΟΥΛΟΣ ΠΑΝΑΓΙΩΤΗΣ</v>
      </c>
      <c r="K33" s="69" t="str">
        <f t="shared" si="0"/>
        <v>ΑΠΟΣΤΟΛΟΠΟΥΛΟΣ</v>
      </c>
      <c r="L33" s="70" t="str">
        <f>IF($I33&gt;0,VLOOKUP($I33,'[1]AL MD'!$C$3:$E$34,3,FALSE),"")</f>
        <v>ΑΟΑ ΠΑΤΡΩΝ</v>
      </c>
      <c r="M33" s="77">
        <v>2</v>
      </c>
      <c r="N33" s="47" t="str">
        <f>UPPER(IF($A$2="R",IF(OR(M33=1,M33="a"),I33,IF(OR(M33=2,M33="b"),I34,"")),IF(OR(M33=1,M33="a"),K33,IF(OR(M33=2,M33="b"),K34,""))))</f>
        <v>ΠΑΠΑΔΑΤΟΣ</v>
      </c>
      <c r="O33" s="48"/>
      <c r="P33" s="74"/>
      <c r="Q33" s="48"/>
      <c r="R33" s="89" t="s">
        <v>22</v>
      </c>
      <c r="T33" s="49"/>
      <c r="X33" s="48">
        <f t="shared" si="1"/>
        <v>33361</v>
      </c>
      <c r="Y33" s="48" t="str">
        <f t="shared" si="1"/>
        <v>ΑΠΟΣΤΟΛΟΠΟΥΛΟΣ ΠΑΝΑΓΙΩΤΗΣ</v>
      </c>
      <c r="Z33" s="64"/>
      <c r="AA33" s="71" t="str">
        <f t="shared" si="2"/>
        <v>ΠΑΠΑΔΑΤΟΣ</v>
      </c>
      <c r="AB33" s="65"/>
      <c r="AC33" s="48" t="str">
        <f>R33</f>
        <v>42  42</v>
      </c>
      <c r="AD33" s="48"/>
    </row>
    <row r="34" spans="1:30">
      <c r="A34" s="54">
        <v>30</v>
      </c>
      <c r="B34" s="39">
        <f>23-D34+8</f>
        <v>21</v>
      </c>
      <c r="C34" s="55">
        <v>16</v>
      </c>
      <c r="D34" s="56">
        <f t="shared" si="4"/>
        <v>10</v>
      </c>
      <c r="E34" s="56">
        <f>IF($B$2&gt;=C34,1,0)</f>
        <v>0</v>
      </c>
      <c r="F34" s="57">
        <f>IF(NOT($G34="-"),VLOOKUP($G34,'[1]AL MD'!$A$3:$E$34,2,FALSE),"")</f>
        <v>0</v>
      </c>
      <c r="G34" s="54">
        <f>IF($B$2&gt;=C34,"-",VLOOKUP($B34,[1]Setup!$Q$4:$R$35,2,FALSE))</f>
        <v>21</v>
      </c>
      <c r="H34" s="54">
        <f>IF(NOT($G34="-"),VLOOKUP($G34,'[1]AL MD'!$A$3:$F$34,6,FALSE),0)</f>
        <v>0</v>
      </c>
      <c r="I34" s="54">
        <f>IF([1]Setup!$B$24="#",0,IF(NOT($G34="-"),VLOOKUP($G34,'[1]AL MD'!$A$3:$E$34,3,FALSE),0))</f>
        <v>33451</v>
      </c>
      <c r="J34" s="58" t="str">
        <f>IF($I34&gt;0,VLOOKUP($I34,'[1]AL MD'!$C$3:$E$34,2,FALSE),"bye")</f>
        <v>ΠΑΠΑΔΑΤΟΣ ΝΙΚΟΣ</v>
      </c>
      <c r="K34" s="59" t="str">
        <f t="shared" si="0"/>
        <v>ΠΑΠΑΔΑΤΟΣ</v>
      </c>
      <c r="L34" s="60" t="str">
        <f>IF($I34&gt;0,VLOOKUP($I34,'[1]AL MD'!$C$3:$E$34,3,FALSE),"")</f>
        <v>ΚΟΑ</v>
      </c>
      <c r="M34" s="61"/>
      <c r="N34" s="62" t="s">
        <v>24</v>
      </c>
      <c r="O34" s="46">
        <v>2</v>
      </c>
      <c r="P34" s="47" t="str">
        <f>UPPER(IF($A$2="R",IF(OR(O34=1,O34="a"),N33,IF(OR(O34=2,O34="b"),N35,"")),IF(OR(O34=1,O34="a"),N33,IF(OR(O34=2,O34="b"),N35,""))))</f>
        <v>ΚΑΡΑΓΙΑΝΝΗΣ</v>
      </c>
      <c r="Q34" s="78"/>
      <c r="R34" s="49"/>
      <c r="T34" s="49"/>
      <c r="X34" s="63">
        <f t="shared" si="1"/>
        <v>33451</v>
      </c>
      <c r="Y34" s="63" t="str">
        <f t="shared" si="1"/>
        <v>ΠΑΠΑΔΑΤΟΣ ΝΙΚΟΣ</v>
      </c>
      <c r="Z34" s="76"/>
      <c r="AA34" s="65" t="str">
        <f t="shared" si="2"/>
        <v>41  42</v>
      </c>
      <c r="AB34" s="65" t="str">
        <f t="shared" si="3"/>
        <v>ΚΑΡΑΓΙΑΝΝΗΣ</v>
      </c>
      <c r="AC34" s="48"/>
      <c r="AD34" s="48"/>
    </row>
    <row r="35" spans="1:30">
      <c r="A35" s="66">
        <v>31</v>
      </c>
      <c r="B35" s="39">
        <f>24-D35+8</f>
        <v>21</v>
      </c>
      <c r="C35" s="55">
        <f>B36</f>
        <v>2</v>
      </c>
      <c r="D35" s="56">
        <f t="shared" si="4"/>
        <v>11</v>
      </c>
      <c r="E35" s="56">
        <f>IF($B$2&gt;=C35,1,0)</f>
        <v>1</v>
      </c>
      <c r="F35" s="67" t="str">
        <f>IF(NOT($G35="-"),VLOOKUP($G35,'[1]AL MD'!$A$3:$E$34,2,FALSE),"")</f>
        <v/>
      </c>
      <c r="G35" s="66" t="str">
        <f>IF($B$2&gt;=C35,"-",VLOOKUP($B35,[1]Setup!$Q$4:$R$35,2,FALSE))</f>
        <v>-</v>
      </c>
      <c r="H35" s="66">
        <f>IF(NOT($G35="-"),VLOOKUP($G35,'[1]AL MD'!$A$3:$F$34,6,FALSE),0)</f>
        <v>0</v>
      </c>
      <c r="I35" s="66">
        <f>IF([1]Setup!$B$24="#",0,IF(NOT($G35="-"),VLOOKUP($G35,'[1]AL MD'!$A$3:$E$34,3,FALSE),0))</f>
        <v>0</v>
      </c>
      <c r="J35" s="68" t="str">
        <f>IF($I35&gt;0,VLOOKUP($I35,'[1]AL MD'!$C$3:$E$34,2,FALSE),"bye")</f>
        <v>bye</v>
      </c>
      <c r="K35" s="69" t="str">
        <f t="shared" si="0"/>
        <v/>
      </c>
      <c r="L35" s="70" t="str">
        <f>IF($I35&gt;0,VLOOKUP($I35,'[1]AL MD'!$C$3:$E$34,3,FALSE),"")</f>
        <v/>
      </c>
      <c r="M35" s="46">
        <v>2</v>
      </c>
      <c r="N35" s="47" t="str">
        <f>UPPER(IF($A$2="R",IF(OR(M35=1,M35="a"),I35,IF(OR(M35=2,M35="b"),I36,"")),IF(OR(M35=1,M35="a"),K35,IF(OR(M35=2,M35="b"),K36,""))))</f>
        <v>ΚΑΡΑΓΙΑΝΝΗΣ</v>
      </c>
      <c r="O35" s="61"/>
      <c r="P35" s="79" t="s">
        <v>16</v>
      </c>
      <c r="Q35" s="48"/>
      <c r="R35" s="49"/>
      <c r="T35" s="49"/>
      <c r="X35" s="48">
        <f t="shared" si="1"/>
        <v>0</v>
      </c>
      <c r="Y35" s="48" t="str">
        <f t="shared" si="1"/>
        <v>bye</v>
      </c>
      <c r="Z35" s="64"/>
      <c r="AA35" s="71" t="str">
        <f t="shared" si="2"/>
        <v>ΚΑΡΑΓΙΑΝΝΗΣ</v>
      </c>
      <c r="AB35" s="106" t="str">
        <f t="shared" si="3"/>
        <v>41  40</v>
      </c>
      <c r="AC35" s="48"/>
      <c r="AD35" s="48"/>
    </row>
    <row r="36" spans="1:30" ht="13.5" thickBot="1">
      <c r="A36" s="80">
        <v>32</v>
      </c>
      <c r="B36" s="99">
        <v>2</v>
      </c>
      <c r="C36" s="82"/>
      <c r="D36" s="83">
        <f t="shared" si="4"/>
        <v>11</v>
      </c>
      <c r="E36" s="83">
        <v>0</v>
      </c>
      <c r="F36" s="84">
        <f>IF(NOT($G36="-"),VLOOKUP($G36,'[1]AL MD'!$A$3:$E$34,2,FALSE),"")</f>
        <v>0</v>
      </c>
      <c r="G36" s="85">
        <f>VLOOKUP($B36,[1]Setup!$Q$4:$R$35,2,FALSE)</f>
        <v>2</v>
      </c>
      <c r="H36" s="80">
        <f>IF($G36&gt;0,VLOOKUP($G36,'[1]AL MD'!$A$3:$F$34,6,FALSE),0)</f>
        <v>46</v>
      </c>
      <c r="I36" s="85">
        <f>IF([1]Setup!$B$24="#",0,IF($G36&gt;0,VLOOKUP($G36,'[1]AL MD'!$A$3:$E$34,3,FALSE),0))</f>
        <v>29964</v>
      </c>
      <c r="J36" s="86" t="str">
        <f>IF($I36&gt;0,VLOOKUP($I36,'[1]AL MD'!$C$3:$E$34,2,FALSE),"bye")</f>
        <v>ΚΑΡΑΓΙΑΝΝΗΣ ΠΑΝΤΕΛΗΣ</v>
      </c>
      <c r="K36" s="87" t="str">
        <f t="shared" si="0"/>
        <v>ΚΑΡΑΓΙΑΝΝΗΣ</v>
      </c>
      <c r="L36" s="88" t="str">
        <f>IF($I36&gt;0,VLOOKUP($I36,'[1]AL MD'!$C$3:$E$34,3,FALSE),"")</f>
        <v>ΑΕΤ ΝΙΚΗ</v>
      </c>
      <c r="M36" s="61"/>
      <c r="N36" s="73"/>
      <c r="P36" s="49"/>
      <c r="R36" s="107"/>
      <c r="T36" s="108"/>
      <c r="X36" s="63">
        <f>I36</f>
        <v>29964</v>
      </c>
      <c r="Y36" s="63" t="str">
        <f>J36</f>
        <v>ΚΑΡΑΓΙΑΝΝΗΣ ΠΑΝΤΕΛΗΣ</v>
      </c>
      <c r="Z36" s="76"/>
      <c r="AA36" s="106">
        <f t="shared" si="2"/>
        <v>0</v>
      </c>
      <c r="AB36" s="48"/>
      <c r="AC36" s="48"/>
      <c r="AD36" s="48"/>
    </row>
    <row r="37" spans="1:30" ht="13.5" thickTop="1">
      <c r="N37" s="113"/>
      <c r="P37" s="113" t="s">
        <v>12</v>
      </c>
      <c r="R37" s="113" t="s">
        <v>12</v>
      </c>
      <c r="T37" s="113" t="s">
        <v>12</v>
      </c>
    </row>
    <row r="38" spans="1:30">
      <c r="J38" s="14"/>
      <c r="K38" s="14"/>
      <c r="L38" s="114"/>
      <c r="M38" s="115"/>
    </row>
    <row r="39" spans="1:30" s="116" customFormat="1" ht="9.75">
      <c r="C39" s="117"/>
      <c r="D39" s="118"/>
      <c r="E39" s="118"/>
      <c r="F39" s="117"/>
      <c r="G39" s="117"/>
      <c r="H39" s="118"/>
      <c r="I39" s="118"/>
      <c r="J39" s="119" t="s">
        <v>27</v>
      </c>
      <c r="K39" s="119"/>
      <c r="L39" s="119"/>
      <c r="M39" s="120"/>
      <c r="O39" s="121"/>
      <c r="Q39" s="121"/>
      <c r="R39" s="122"/>
      <c r="S39" s="123"/>
      <c r="T39" s="122"/>
      <c r="U39" s="122"/>
    </row>
    <row r="40" spans="1:30" s="116" customFormat="1">
      <c r="C40" s="117"/>
      <c r="D40" s="118"/>
      <c r="E40" s="118"/>
      <c r="F40" s="117"/>
      <c r="G40" s="117"/>
      <c r="H40" s="118"/>
      <c r="I40" s="118"/>
      <c r="J40" s="124" t="str">
        <f>"1. " &amp; IF([1]Setup!B19&gt;0,LEFT('[1]AL MD'!D3,FIND(" ",'[1]AL MD'!D3)+1),"")</f>
        <v>1. ΚΑΛΛΙΣΤΡΟΣ Α</v>
      </c>
      <c r="K40" s="125"/>
      <c r="L40" s="126" t="str">
        <f>"5. " &amp; IF([1]Setup!B19&gt;4,LEFT('[1]AL MD'!D7,FIND(" ",'[1]AL MD'!D7)+1),"")</f>
        <v>5. ΜΗΤΣΑΚΟΣ Θ</v>
      </c>
      <c r="M40" s="127"/>
      <c r="N40" s="127"/>
      <c r="O40" s="121"/>
      <c r="Q40" s="121"/>
      <c r="R40" s="122"/>
      <c r="S40" s="123"/>
      <c r="T40" s="122"/>
      <c r="U40" s="122"/>
    </row>
    <row r="41" spans="1:30" s="116" customFormat="1">
      <c r="C41" s="117"/>
      <c r="D41" s="118"/>
      <c r="E41" s="118"/>
      <c r="F41" s="117"/>
      <c r="G41" s="117"/>
      <c r="H41" s="118"/>
      <c r="I41" s="118"/>
      <c r="J41" s="124" t="str">
        <f>"2. " &amp; IF([1]Setup!B19&gt;1,LEFT('[1]AL MD'!D4,FIND(" ",'[1]AL MD'!D4)+1),"")</f>
        <v>2. ΚΑΡΑΓΙΑΝΝΗΣ Π</v>
      </c>
      <c r="K41" s="125"/>
      <c r="L41" s="126" t="str">
        <f>"6. " &amp; IF([1]Setup!B19&gt;5,LEFT('[1]AL MD'!D8,FIND(" ",'[1]AL MD'!D8)+1),"")</f>
        <v>6. ΚΩΝΣΤΑΝΤΙΝΙΔΗΣ Η</v>
      </c>
      <c r="M41" s="120"/>
      <c r="O41" s="121"/>
      <c r="Q41" s="121"/>
      <c r="R41" s="128" t="s">
        <v>28</v>
      </c>
      <c r="S41" s="129"/>
      <c r="T41" s="130"/>
      <c r="U41" s="122"/>
    </row>
    <row r="42" spans="1:30" s="116" customFormat="1">
      <c r="C42" s="117"/>
      <c r="D42" s="118"/>
      <c r="E42" s="118"/>
      <c r="F42" s="117"/>
      <c r="G42" s="117"/>
      <c r="H42" s="118"/>
      <c r="I42" s="118"/>
      <c r="J42" s="124" t="str">
        <f>"3. " &amp; IF([1]Setup!B19&gt;2,LEFT('[1]AL MD'!D5,FIND(" ",'[1]AL MD'!D5)+1),"")</f>
        <v>3. ΠΗΛΙΧΟΣ Τ</v>
      </c>
      <c r="K42" s="125"/>
      <c r="L42" s="126" t="str">
        <f>"7. " &amp; IF([1]Setup!B19&gt;6,LEFT('[1]AL MD'!D9,FIND(" ",'[1]AL MD'!D9)+1),"")</f>
        <v>7. ΚΑΠΟΛΟΣ Ν</v>
      </c>
      <c r="M42" s="120"/>
      <c r="O42" s="121"/>
      <c r="Q42" s="121"/>
      <c r="R42" s="131" t="str">
        <f>[1]Setup!B10</f>
        <v>Χριστόπουλος Κ</v>
      </c>
      <c r="S42" s="131"/>
      <c r="T42" s="131"/>
      <c r="U42" s="122"/>
    </row>
    <row r="43" spans="1:30" s="116" customFormat="1">
      <c r="C43" s="117"/>
      <c r="D43" s="118"/>
      <c r="E43" s="118"/>
      <c r="F43" s="117"/>
      <c r="G43" s="117"/>
      <c r="H43" s="118"/>
      <c r="I43" s="118"/>
      <c r="J43" s="124" t="str">
        <f>"4. " &amp; IF([1]Setup!B19&gt;3,LEFT('[1]AL MD'!D6,FIND(" ",'[1]AL MD'!D6)+1),"")</f>
        <v>4. ΔΑΝΙΗΛΟΓΛΟΥ Σ</v>
      </c>
      <c r="K43" s="125"/>
      <c r="L43" s="126" t="str">
        <f>"8. " &amp; IF([1]Setup!B19&gt;7,LEFT('[1]AL MD'!D10,FIND(" ",'[1]AL MD'!D10)+1),"")</f>
        <v>8. ΠΑΠΠΑΣ Ε</v>
      </c>
      <c r="M43" s="120"/>
      <c r="O43" s="121"/>
      <c r="Q43" s="121"/>
      <c r="R43" s="122"/>
      <c r="S43" s="123"/>
      <c r="U43" s="122"/>
    </row>
    <row r="44" spans="1:30" s="116" customFormat="1">
      <c r="C44" s="117"/>
      <c r="D44" s="118"/>
      <c r="E44" s="118"/>
      <c r="F44" s="117"/>
      <c r="G44" s="117"/>
      <c r="H44" s="118"/>
      <c r="I44" s="118"/>
      <c r="K44" s="122"/>
      <c r="L44" s="132"/>
      <c r="M44" s="120"/>
      <c r="O44" s="121"/>
      <c r="Q44" s="121"/>
      <c r="R44" s="122"/>
      <c r="S44" s="123"/>
      <c r="T44" s="122"/>
      <c r="U44" s="122"/>
    </row>
    <row r="45" spans="1:30" s="116" customFormat="1">
      <c r="C45" s="117"/>
      <c r="D45" s="118"/>
      <c r="E45" s="118"/>
      <c r="F45" s="117"/>
      <c r="G45" s="117"/>
      <c r="H45" s="118"/>
      <c r="I45" s="118"/>
      <c r="K45" s="122"/>
      <c r="L45" s="133"/>
      <c r="M45" s="120"/>
      <c r="O45" s="121"/>
      <c r="Q45" s="121"/>
      <c r="R45" s="122"/>
      <c r="S45" s="123"/>
      <c r="T45" s="122"/>
      <c r="U45" s="122"/>
    </row>
    <row r="46" spans="1:30" s="116" customFormat="1">
      <c r="C46" s="117"/>
      <c r="D46" s="118"/>
      <c r="E46" s="118"/>
      <c r="F46" s="117"/>
      <c r="G46" s="117"/>
      <c r="H46" s="118"/>
      <c r="I46" s="118"/>
      <c r="K46" s="122"/>
      <c r="L46" s="133"/>
      <c r="M46" s="120"/>
      <c r="O46" s="121"/>
      <c r="Q46" s="121"/>
      <c r="R46" s="122"/>
      <c r="S46" s="123"/>
      <c r="T46" s="122"/>
      <c r="U46" s="122"/>
    </row>
    <row r="47" spans="1:30" s="116" customFormat="1">
      <c r="C47" s="117"/>
      <c r="D47" s="118"/>
      <c r="E47" s="118"/>
      <c r="F47" s="117"/>
      <c r="G47" s="117"/>
      <c r="H47" s="118"/>
      <c r="I47" s="118"/>
      <c r="K47" s="122"/>
      <c r="L47" s="133"/>
      <c r="M47" s="120"/>
      <c r="O47" s="121"/>
      <c r="Q47" s="121"/>
      <c r="R47" s="122"/>
      <c r="S47" s="123"/>
      <c r="T47" s="122"/>
      <c r="U47" s="122"/>
    </row>
    <row r="48" spans="1:30">
      <c r="J48" s="134"/>
      <c r="K48" s="14"/>
      <c r="L48" s="114"/>
      <c r="M48" s="115"/>
    </row>
    <row r="49" spans="10:13">
      <c r="J49" s="134"/>
      <c r="K49" s="14"/>
      <c r="L49" s="114"/>
      <c r="M49" s="115"/>
    </row>
    <row r="50" spans="10:13">
      <c r="J50" s="134"/>
      <c r="K50" s="14"/>
      <c r="L50" s="114"/>
      <c r="M50" s="115"/>
    </row>
    <row r="51" spans="10:13">
      <c r="J51" s="16"/>
    </row>
    <row r="52" spans="10:13">
      <c r="J52" s="16"/>
    </row>
    <row r="53" spans="10:13">
      <c r="J53" s="16"/>
    </row>
    <row r="54" spans="10:13">
      <c r="J54" s="16"/>
    </row>
    <row r="55" spans="10:13">
      <c r="J55" s="16"/>
    </row>
    <row r="56" spans="10:13">
      <c r="J56" s="16"/>
    </row>
    <row r="57" spans="10:13">
      <c r="J57" s="16"/>
    </row>
    <row r="58" spans="10:13">
      <c r="J58" s="16"/>
    </row>
    <row r="59" spans="10:13">
      <c r="J59" s="135" t="s">
        <v>29</v>
      </c>
    </row>
    <row r="60" spans="10:13">
      <c r="J60" s="136" t="str">
        <f>IF([1]Setup!$B$19&gt;0,LEFT('[1]AL MD'!D3,FIND(" ",'[1]AL MD'!D3)-1))</f>
        <v>ΚΑΛΛΙΣΤΡΟΣ</v>
      </c>
    </row>
    <row r="61" spans="10:13">
      <c r="J61" s="136" t="str">
        <f>IF([1]Setup!$B$19&gt;1,LEFT('[1]AL MD'!D4,FIND(" ",'[1]AL MD'!D4)-1))</f>
        <v>ΚΑΡΑΓΙΑΝΝΗΣ</v>
      </c>
    </row>
    <row r="62" spans="10:13">
      <c r="J62" s="136" t="str">
        <f>IF([1]Setup!$B$19&gt;2,LEFT('[1]AL MD'!D5,FIND(" ",'[1]AL MD'!D5)-1))</f>
        <v>ΠΗΛΙΧΟΣ</v>
      </c>
    </row>
    <row r="63" spans="10:13">
      <c r="J63" s="136" t="str">
        <f>IF([1]Setup!$B$19&gt;3,LEFT('[1]AL MD'!D6,FIND(" ",'[1]AL MD'!D6)-1))</f>
        <v>ΔΑΝΙΗΛΟΓΛΟΥ</v>
      </c>
    </row>
    <row r="64" spans="10:13">
      <c r="J64" s="136" t="str">
        <f>IF([1]Setup!$B$19&gt;4,LEFT('[1]AL MD'!D7,FIND(" ",'[1]AL MD'!D7)-1))</f>
        <v>ΜΗΤΣΑΚΟΣ</v>
      </c>
    </row>
    <row r="65" spans="10:10">
      <c r="J65" s="136" t="str">
        <f>IF([1]Setup!$B$19&gt;5,LEFT('[1]AL MD'!D8,FIND(" ",'[1]AL MD'!D8)-1))</f>
        <v>ΚΩΝΣΤΑΝΤΙΝΙΔΗΣ</v>
      </c>
    </row>
    <row r="66" spans="10:10">
      <c r="J66" s="136" t="str">
        <f>IF([1]Setup!$B$19&gt;6,LEFT('[1]AL MD'!D9,FIND(" ",'[1]AL MD'!D9)-1))</f>
        <v>ΚΑΠΟΛΟΣ</v>
      </c>
    </row>
    <row r="67" spans="10:10">
      <c r="J67" s="136" t="str">
        <f>IF([1]Setup!$B$19&gt;7,LEFT('[1]AL MD'!D10,FIND(" ",'[1]AL MD'!D10)-1))</f>
        <v>ΠΑΠΠΑΣ</v>
      </c>
    </row>
    <row r="68" spans="10:10">
      <c r="J68" s="137"/>
    </row>
    <row r="69" spans="10:10">
      <c r="J69" s="137"/>
    </row>
    <row r="70" spans="10:10">
      <c r="J70" s="137"/>
    </row>
    <row r="71" spans="10:10">
      <c r="J71" s="137"/>
    </row>
    <row r="72" spans="10:10">
      <c r="J72" s="137"/>
    </row>
    <row r="73" spans="10:10">
      <c r="J73" s="137"/>
    </row>
    <row r="74" spans="10:10">
      <c r="J74" s="137"/>
    </row>
    <row r="75" spans="10:10">
      <c r="J75" s="137"/>
    </row>
  </sheetData>
  <sheetProtection password="CF33" sheet="1" objects="1" scenarios="1" formatCells="0" formatColumns="0" formatRows="0"/>
  <protectedRanges>
    <protectedRange sqref="A2 M5 M7 M9 M11 M13 M15 M17 M19 M21 M23 M25 M27 M29 M31 M33 M35 O6 O10 O14 O18 O22 O26 O30 O34 Q8 Q16 Q24 Q32 S12 S28 S20" name="winners"/>
    <protectedRange sqref="N6 N8 N10 N12 N14 N16 N18 N20 N22 N24 N26 N28 N30 N32 N34 N36 P7 P11 P15 P19 P23 P27 P31 P35 R9 R17 R25 R33 T13 T21 T29" name="scores"/>
    <protectedRange sqref="G5:G36" name="seeds"/>
  </protectedRanges>
  <mergeCells count="4">
    <mergeCell ref="A1:R1"/>
    <mergeCell ref="J3:L3"/>
    <mergeCell ref="J39:L39"/>
    <mergeCell ref="R42:T42"/>
  </mergeCells>
  <conditionalFormatting sqref="N5 N7 N9 N11 N13 N15 N17 N19 N21 N23 N25 N27 N29 N31 N33 N35 P34 P30 P26 P22 P18 P14 P10 P6 R8 R16 R24 R32 T28 T20 T12">
    <cfRule type="expression" dxfId="0" priority="1">
      <formula>MATCH(N5,$J$60:$J$75,0)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MD</vt:lpstr>
      <vt:lpstr>MD!Print_Area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ΣΠΥΡΙΔΟΥΛΑ</dc:creator>
  <cp:lastModifiedBy>ΣΠΥΡΙΔΟΥΛΑ</cp:lastModifiedBy>
  <dcterms:created xsi:type="dcterms:W3CDTF">2014-09-14T18:53:01Z</dcterms:created>
  <dcterms:modified xsi:type="dcterms:W3CDTF">2014-09-14T18:53:18Z</dcterms:modified>
</cp:coreProperties>
</file>